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Dokumenty$\gseidel\Documents\Moje dokumenty\WNIOSKI, FORMULARZE\WFOŚiGW\wniosek WFOŚiGW PGN\"/>
    </mc:Choice>
  </mc:AlternateContent>
  <bookViews>
    <workbookView xWindow="0" yWindow="0" windowWidth="19200" windowHeight="8175"/>
  </bookViews>
  <sheets>
    <sheet name="Ankietyzacja_dane" sheetId="1" r:id="rId1"/>
    <sheet name="Sektor mieszkalny" sheetId="2" r:id="rId2"/>
    <sheet name="Ankietyzacja_bud_publ" sheetId="3" r:id="rId3"/>
    <sheet name="Budynki publiczne" sheetId="4" r:id="rId4"/>
    <sheet name="Sektor usługowy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5" l="1"/>
  <c r="I51" i="5" s="1"/>
  <c r="I43" i="5"/>
  <c r="I50" i="5" s="1"/>
  <c r="I52" i="5" s="1"/>
  <c r="K38" i="5"/>
  <c r="K44" i="5" s="1"/>
  <c r="K51" i="5" s="1"/>
  <c r="K37" i="5"/>
  <c r="K43" i="5" s="1"/>
  <c r="E32" i="5"/>
  <c r="E29" i="5"/>
  <c r="E25" i="5"/>
  <c r="E28" i="5" s="1"/>
  <c r="G18" i="5"/>
  <c r="J17" i="5"/>
  <c r="H17" i="5"/>
  <c r="G17" i="5"/>
  <c r="F17" i="5"/>
  <c r="E17" i="5"/>
  <c r="J16" i="5"/>
  <c r="J19" i="5" s="1"/>
  <c r="J38" i="5" s="1"/>
  <c r="J44" i="5" s="1"/>
  <c r="J51" i="5" s="1"/>
  <c r="H16" i="5"/>
  <c r="G16" i="5"/>
  <c r="F16" i="5"/>
  <c r="E16" i="5"/>
  <c r="P14" i="5"/>
  <c r="D6" i="5" s="1"/>
  <c r="O14" i="5"/>
  <c r="D25" i="5" s="1"/>
  <c r="G14" i="5"/>
  <c r="P13" i="5"/>
  <c r="D16" i="5" s="1"/>
  <c r="O13" i="5"/>
  <c r="D12" i="5" s="1"/>
  <c r="J13" i="5"/>
  <c r="H13" i="5"/>
  <c r="G13" i="5"/>
  <c r="F13" i="5"/>
  <c r="E13" i="5"/>
  <c r="J12" i="5"/>
  <c r="J15" i="5" s="1"/>
  <c r="J37" i="5" s="1"/>
  <c r="J43" i="5" s="1"/>
  <c r="H12" i="5"/>
  <c r="G12" i="5"/>
  <c r="F12" i="5"/>
  <c r="E12" i="5"/>
  <c r="G6" i="5"/>
  <c r="G5" i="5"/>
  <c r="D5" i="5"/>
  <c r="J5" i="5" s="1"/>
  <c r="H24" i="4"/>
  <c r="H31" i="4" s="1"/>
  <c r="C19" i="4"/>
  <c r="H18" i="4"/>
  <c r="G18" i="4"/>
  <c r="G24" i="4" s="1"/>
  <c r="C18" i="4"/>
  <c r="J13" i="4"/>
  <c r="F13" i="4"/>
  <c r="E13" i="4"/>
  <c r="D13" i="4"/>
  <c r="J12" i="4"/>
  <c r="F12" i="4"/>
  <c r="E12" i="4"/>
  <c r="E18" i="4" s="1"/>
  <c r="E24" i="4" s="1"/>
  <c r="D12" i="4"/>
  <c r="D18" i="4" s="1"/>
  <c r="D24" i="4" s="1"/>
  <c r="J7" i="4"/>
  <c r="H19" i="4" s="1"/>
  <c r="H25" i="4" s="1"/>
  <c r="H32" i="4" s="1"/>
  <c r="H7" i="4"/>
  <c r="G19" i="4" s="1"/>
  <c r="G25" i="4" s="1"/>
  <c r="G32" i="4" s="1"/>
  <c r="F7" i="4"/>
  <c r="F19" i="4" s="1"/>
  <c r="F25" i="4" s="1"/>
  <c r="F32" i="4" s="1"/>
  <c r="E7" i="4"/>
  <c r="E19" i="4" s="1"/>
  <c r="E25" i="4" s="1"/>
  <c r="E32" i="4" s="1"/>
  <c r="D7" i="4"/>
  <c r="D19" i="4" s="1"/>
  <c r="D25" i="4" s="1"/>
  <c r="J6" i="4"/>
  <c r="H6" i="4"/>
  <c r="F6" i="4"/>
  <c r="F18" i="4" s="1"/>
  <c r="F24" i="4" s="1"/>
  <c r="E6" i="4"/>
  <c r="D6" i="4"/>
  <c r="CF34" i="3"/>
  <c r="CF33" i="3"/>
  <c r="S33" i="3"/>
  <c r="Q33" i="3"/>
  <c r="J33" i="3"/>
  <c r="CF32" i="3"/>
  <c r="CF31" i="3"/>
  <c r="W31" i="3"/>
  <c r="Q31" i="3"/>
  <c r="CF30" i="3"/>
  <c r="Q30" i="3"/>
  <c r="O30" i="3"/>
  <c r="CF29" i="3"/>
  <c r="CF28" i="3"/>
  <c r="Q28" i="3"/>
  <c r="H28" i="3"/>
  <c r="CF27" i="3"/>
  <c r="Q27" i="3"/>
  <c r="CF26" i="3"/>
  <c r="CF25" i="3"/>
  <c r="CF24" i="3"/>
  <c r="CF23" i="3"/>
  <c r="S23" i="3"/>
  <c r="Q23" i="3"/>
  <c r="J23" i="3"/>
  <c r="H23" i="3"/>
  <c r="CF22" i="3"/>
  <c r="BW22" i="3"/>
  <c r="AM22" i="3"/>
  <c r="AV22" i="3" s="1"/>
  <c r="CF21" i="3"/>
  <c r="BW21" i="3"/>
  <c r="AV21" i="3"/>
  <c r="CF20" i="3"/>
  <c r="BN20" i="3"/>
  <c r="BW20" i="3" s="1"/>
  <c r="BE20" i="3"/>
  <c r="AM20" i="3"/>
  <c r="AD20" i="3"/>
  <c r="AV20" i="3" s="1"/>
  <c r="CE19" i="3"/>
  <c r="BW19" i="3"/>
  <c r="AV19" i="3"/>
  <c r="X19" i="3"/>
  <c r="X30" i="3" s="1"/>
  <c r="O19" i="3"/>
  <c r="CE18" i="3"/>
  <c r="O18" i="3"/>
  <c r="X18" i="3" s="1"/>
  <c r="CE17" i="3"/>
  <c r="O17" i="3"/>
  <c r="X17" i="3" s="1"/>
  <c r="CE16" i="3"/>
  <c r="BW16" i="3"/>
  <c r="AV16" i="3"/>
  <c r="O16" i="3"/>
  <c r="X16" i="3" s="1"/>
  <c r="CE15" i="3"/>
  <c r="BN15" i="3"/>
  <c r="BW15" i="3" s="1"/>
  <c r="AV15" i="3"/>
  <c r="O15" i="3"/>
  <c r="X15" i="3" s="1"/>
  <c r="CE14" i="3"/>
  <c r="BW14" i="3"/>
  <c r="AV14" i="3"/>
  <c r="O14" i="3"/>
  <c r="X14" i="3" s="1"/>
  <c r="CE13" i="3"/>
  <c r="O13" i="3"/>
  <c r="X13" i="3" s="1"/>
  <c r="CE12" i="3"/>
  <c r="BY12" i="3"/>
  <c r="BN12" i="3"/>
  <c r="BE12" i="3"/>
  <c r="BW12" i="3" s="1"/>
  <c r="AX12" i="3"/>
  <c r="AM12" i="3"/>
  <c r="AD12" i="3"/>
  <c r="AV12" i="3" s="1"/>
  <c r="X12" i="3"/>
  <c r="X23" i="3" s="1"/>
  <c r="O12" i="3"/>
  <c r="CE11" i="3"/>
  <c r="BY11" i="3"/>
  <c r="BW11" i="3"/>
  <c r="BN11" i="3"/>
  <c r="BE11" i="3"/>
  <c r="AX11" i="3"/>
  <c r="AV11" i="3"/>
  <c r="AM11" i="3"/>
  <c r="AD11" i="3"/>
  <c r="O11" i="3"/>
  <c r="X11" i="3" s="1"/>
  <c r="CE10" i="3"/>
  <c r="O10" i="3"/>
  <c r="X10" i="3" s="1"/>
  <c r="CE9" i="3"/>
  <c r="BW9" i="3"/>
  <c r="AV9" i="3"/>
  <c r="X9" i="3"/>
  <c r="O9" i="3"/>
  <c r="CE8" i="3"/>
  <c r="CC8" i="3"/>
  <c r="BB8" i="3"/>
  <c r="X8" i="3"/>
  <c r="W8" i="3"/>
  <c r="O8" i="3"/>
  <c r="N8" i="3"/>
  <c r="N31" i="3" s="1"/>
  <c r="CE7" i="3"/>
  <c r="BW7" i="3"/>
  <c r="X7" i="3"/>
  <c r="O7" i="3"/>
  <c r="H7" i="3"/>
  <c r="H33" i="3" s="1"/>
  <c r="CE6" i="3"/>
  <c r="BW6" i="3"/>
  <c r="X6" i="3"/>
  <c r="X31" i="3" s="1"/>
  <c r="X27" i="3" s="1"/>
  <c r="O6" i="3"/>
  <c r="O31" i="3" s="1"/>
  <c r="H6" i="3"/>
  <c r="CE5" i="3"/>
  <c r="X5" i="3"/>
  <c r="U5" i="3"/>
  <c r="O5" i="3"/>
  <c r="O33" i="3" s="1"/>
  <c r="L5" i="3"/>
  <c r="X22" i="2"/>
  <c r="L13" i="2"/>
  <c r="K13" i="2"/>
  <c r="J13" i="2"/>
  <c r="I13" i="2"/>
  <c r="H13" i="2"/>
  <c r="G13" i="2"/>
  <c r="F13" i="2"/>
  <c r="E13" i="2"/>
  <c r="L12" i="2"/>
  <c r="K12" i="2"/>
  <c r="J12" i="2"/>
  <c r="H12" i="2"/>
  <c r="G12" i="2"/>
  <c r="F12" i="2"/>
  <c r="E12" i="2"/>
  <c r="R7" i="2"/>
  <c r="Q7" i="2"/>
  <c r="D13" i="2" s="1"/>
  <c r="F7" i="2"/>
  <c r="R6" i="2"/>
  <c r="D12" i="2" s="1"/>
  <c r="Q6" i="2"/>
  <c r="C6" i="2" s="1"/>
  <c r="F6" i="2"/>
  <c r="BR112" i="1"/>
  <c r="BR111" i="1"/>
  <c r="AC110" i="1"/>
  <c r="AC105" i="1"/>
  <c r="Q105" i="1"/>
  <c r="BB104" i="1"/>
  <c r="AZ104" i="1"/>
  <c r="M104" i="1"/>
  <c r="BB102" i="1"/>
  <c r="AL92" i="1"/>
  <c r="Z92" i="1"/>
  <c r="AZ89" i="1"/>
  <c r="AJ87" i="1"/>
  <c r="X87" i="1"/>
  <c r="AJ84" i="1"/>
  <c r="X84" i="1"/>
  <c r="BR80" i="1"/>
  <c r="AK80" i="1"/>
  <c r="Y80" i="1"/>
  <c r="AC62" i="1"/>
  <c r="Q62" i="1"/>
  <c r="BB58" i="1"/>
  <c r="AZ53" i="1"/>
  <c r="W49" i="1"/>
  <c r="BB47" i="1"/>
  <c r="M47" i="1"/>
  <c r="BB41" i="1"/>
  <c r="AZ41" i="1"/>
  <c r="BB33" i="1"/>
  <c r="AC33" i="1"/>
  <c r="AC31" i="1"/>
  <c r="Q31" i="1"/>
  <c r="BB30" i="1"/>
  <c r="BR27" i="1"/>
  <c r="BE27" i="1"/>
  <c r="BB27" i="1"/>
  <c r="BR26" i="1"/>
  <c r="BH26" i="1"/>
  <c r="BR25" i="1"/>
  <c r="BR24" i="1"/>
  <c r="BR23" i="1"/>
  <c r="BR22" i="1"/>
  <c r="BR21" i="1"/>
  <c r="BH19" i="1"/>
  <c r="BE19" i="1"/>
  <c r="BB19" i="1"/>
  <c r="BR17" i="1"/>
  <c r="BR15" i="1"/>
  <c r="BE15" i="1"/>
  <c r="BR14" i="1"/>
  <c r="BR13" i="1"/>
  <c r="BR12" i="1"/>
  <c r="BR11" i="1"/>
  <c r="BR10" i="1"/>
  <c r="BR9" i="1"/>
  <c r="BR8" i="1"/>
  <c r="BR7" i="1"/>
  <c r="BR6" i="1"/>
  <c r="BR5" i="1"/>
  <c r="D37" i="5" l="1"/>
  <c r="D43" i="5" s="1"/>
  <c r="D50" i="5" s="1"/>
  <c r="F15" i="5"/>
  <c r="F37" i="5" s="1"/>
  <c r="F43" i="5" s="1"/>
  <c r="H15" i="5"/>
  <c r="H37" i="5" s="1"/>
  <c r="H43" i="5" s="1"/>
  <c r="G15" i="5"/>
  <c r="G37" i="5" s="1"/>
  <c r="G43" i="5" s="1"/>
  <c r="J6" i="5"/>
  <c r="D38" i="5"/>
  <c r="D44" i="5" s="1"/>
  <c r="D51" i="5" s="1"/>
  <c r="H19" i="5"/>
  <c r="H38" i="5" s="1"/>
  <c r="H44" i="5" s="1"/>
  <c r="H51" i="5" s="1"/>
  <c r="G19" i="5"/>
  <c r="G38" i="5" s="1"/>
  <c r="G44" i="5" s="1"/>
  <c r="G51" i="5" s="1"/>
  <c r="F19" i="5"/>
  <c r="F38" i="5" s="1"/>
  <c r="F44" i="5" s="1"/>
  <c r="F51" i="5" s="1"/>
  <c r="J45" i="5"/>
  <c r="J50" i="5"/>
  <c r="J52" i="5" s="1"/>
  <c r="E19" i="5"/>
  <c r="E38" i="5" s="1"/>
  <c r="E44" i="5" s="1"/>
  <c r="E15" i="5"/>
  <c r="E37" i="5" s="1"/>
  <c r="E43" i="5" s="1"/>
  <c r="K45" i="5"/>
  <c r="K50" i="5"/>
  <c r="K52" i="5" s="1"/>
  <c r="I45" i="5"/>
  <c r="E31" i="4"/>
  <c r="E33" i="4" s="1"/>
  <c r="E26" i="4"/>
  <c r="G26" i="4"/>
  <c r="G31" i="4"/>
  <c r="G33" i="4" s="1"/>
  <c r="I25" i="4"/>
  <c r="D32" i="4"/>
  <c r="I32" i="4" s="1"/>
  <c r="F26" i="4"/>
  <c r="F31" i="4"/>
  <c r="F33" i="4" s="1"/>
  <c r="D31" i="4"/>
  <c r="I24" i="4"/>
  <c r="I26" i="4" s="1"/>
  <c r="D26" i="4"/>
  <c r="H33" i="4"/>
  <c r="H26" i="4"/>
  <c r="X28" i="3"/>
  <c r="X33" i="3"/>
  <c r="O23" i="3"/>
  <c r="O28" i="3"/>
  <c r="H31" i="3"/>
  <c r="I18" i="2"/>
  <c r="C25" i="2"/>
  <c r="C12" i="2"/>
  <c r="C18" i="2"/>
  <c r="C7" i="2"/>
  <c r="F45" i="5" l="1"/>
  <c r="F50" i="5"/>
  <c r="F52" i="5" s="1"/>
  <c r="E50" i="5"/>
  <c r="E45" i="5"/>
  <c r="L43" i="5"/>
  <c r="E51" i="5"/>
  <c r="L51" i="5" s="1"/>
  <c r="L44" i="5"/>
  <c r="G45" i="5"/>
  <c r="G50" i="5"/>
  <c r="G52" i="5" s="1"/>
  <c r="H50" i="5"/>
  <c r="H52" i="5" s="1"/>
  <c r="H45" i="5"/>
  <c r="I31" i="4"/>
  <c r="I33" i="4" s="1"/>
  <c r="D33" i="4"/>
  <c r="G18" i="2"/>
  <c r="F18" i="2"/>
  <c r="H18" i="2"/>
  <c r="K18" i="2"/>
  <c r="J18" i="2"/>
  <c r="E18" i="2"/>
  <c r="C19" i="2"/>
  <c r="C13" i="2"/>
  <c r="C26" i="2"/>
  <c r="I25" i="2"/>
  <c r="D18" i="2"/>
  <c r="E52" i="5" l="1"/>
  <c r="L50" i="5"/>
  <c r="L52" i="5" s="1"/>
  <c r="L45" i="5"/>
  <c r="L18" i="2"/>
  <c r="D25" i="2"/>
  <c r="K25" i="2"/>
  <c r="H25" i="2"/>
  <c r="E25" i="2"/>
  <c r="E27" i="2" s="1"/>
  <c r="F20" i="2"/>
  <c r="F25" i="2"/>
  <c r="K19" i="2"/>
  <c r="K26" i="2" s="1"/>
  <c r="I19" i="2"/>
  <c r="H19" i="2"/>
  <c r="H26" i="2" s="1"/>
  <c r="J19" i="2"/>
  <c r="J26" i="2" s="1"/>
  <c r="E19" i="2"/>
  <c r="E26" i="2" s="1"/>
  <c r="F19" i="2"/>
  <c r="F26" i="2" s="1"/>
  <c r="D19" i="2"/>
  <c r="D20" i="2" s="1"/>
  <c r="G19" i="2"/>
  <c r="G26" i="2" s="1"/>
  <c r="J20" i="2"/>
  <c r="J25" i="2"/>
  <c r="J27" i="2" s="1"/>
  <c r="G25" i="2"/>
  <c r="G27" i="2" s="1"/>
  <c r="G20" i="2"/>
  <c r="H27" i="2" l="1"/>
  <c r="D27" i="2"/>
  <c r="L25" i="2"/>
  <c r="L27" i="2" s="1"/>
  <c r="I26" i="2"/>
  <c r="I27" i="2" s="1"/>
  <c r="I20" i="2"/>
  <c r="F27" i="2"/>
  <c r="K27" i="2"/>
  <c r="L19" i="2"/>
  <c r="L20" i="2" s="1"/>
  <c r="D26" i="2"/>
  <c r="L26" i="2" s="1"/>
  <c r="H20" i="2"/>
  <c r="E20" i="2"/>
  <c r="K20" i="2"/>
</calcChain>
</file>

<file path=xl/comments1.xml><?xml version="1.0" encoding="utf-8"?>
<comments xmlns="http://schemas.openxmlformats.org/spreadsheetml/2006/main">
  <authors>
    <author>lenovo</author>
    <author>IZA</author>
  </authors>
  <commentList>
    <comment ref="D12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dane Tauron</t>
        </r>
      </text>
    </comment>
    <comment ref="I12" authorId="1" shapeId="0">
      <text>
        <r>
          <rPr>
            <sz val="8"/>
            <color indexed="81"/>
            <rFont val="Tahoma"/>
            <family val="2"/>
            <charset val="238"/>
          </rPr>
          <t>dane GUS 2009</t>
        </r>
      </text>
    </comment>
    <comment ref="J12" authorId="0" shapeId="0">
      <text>
        <r>
          <rPr>
            <sz val="9"/>
            <color indexed="81"/>
            <rFont val="Tahoma"/>
            <family val="2"/>
            <charset val="238"/>
          </rPr>
          <t xml:space="preserve">dane PGNiG
</t>
        </r>
      </text>
    </comment>
    <comment ref="M12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dane GUS 2009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dane Tauron</t>
        </r>
      </text>
    </comment>
    <comment ref="J13" authorId="0" shapeId="0">
      <text>
        <r>
          <rPr>
            <sz val="9"/>
            <color indexed="81"/>
            <rFont val="Tahoma"/>
            <family val="2"/>
            <charset val="238"/>
          </rPr>
          <t>dane PGNiG</t>
        </r>
      </text>
    </comment>
    <comment ref="M13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dane GUS 2012</t>
        </r>
      </text>
    </comment>
  </commentList>
</comments>
</file>

<file path=xl/comments2.xml><?xml version="1.0" encoding="utf-8"?>
<comments xmlns="http://schemas.openxmlformats.org/spreadsheetml/2006/main">
  <authors>
    <author>lenovo</author>
    <author>EN PROJECT</author>
  </authors>
  <commentList>
    <comment ref="I35" authorId="0" shapeId="0">
      <text>
        <r>
          <rPr>
            <sz val="9"/>
            <color indexed="81"/>
            <rFont val="Tahoma"/>
            <family val="2"/>
            <charset val="238"/>
          </rPr>
          <t>dane PGNiG</t>
        </r>
      </text>
    </comment>
    <comment ref="K35" authorId="1" shapeId="0">
      <text>
        <r>
          <rPr>
            <sz val="9"/>
            <color indexed="81"/>
            <rFont val="Tahoma"/>
            <family val="2"/>
            <charset val="238"/>
          </rPr>
          <t>dane Tauron</t>
        </r>
      </text>
    </comment>
  </commentList>
</comments>
</file>

<file path=xl/sharedStrings.xml><?xml version="1.0" encoding="utf-8"?>
<sst xmlns="http://schemas.openxmlformats.org/spreadsheetml/2006/main" count="1256" uniqueCount="312">
  <si>
    <t>LICZBA POJAZDÓW</t>
  </si>
  <si>
    <t>LICZBA PRZEJECHANYCH KM W CIĄGU ROKU 2014</t>
  </si>
  <si>
    <t>% PODRÓŻY W GRANICACH GMINY</t>
  </si>
  <si>
    <t>ogrzewanie + c.w.u</t>
  </si>
  <si>
    <t>energia elektryczna</t>
  </si>
  <si>
    <t xml:space="preserve">ogrzewanie + c.w.u </t>
  </si>
  <si>
    <t>Osobowe</t>
  </si>
  <si>
    <t>Dostawcze</t>
  </si>
  <si>
    <t>Ciężarowe</t>
  </si>
  <si>
    <t>Inne</t>
  </si>
  <si>
    <t>MIEJSCOWOŚĆ</t>
  </si>
  <si>
    <t>ULICA</t>
  </si>
  <si>
    <t>NR BUDYNKU</t>
  </si>
  <si>
    <t>KOD_POCZTOWY</t>
  </si>
  <si>
    <t>usługowe, mieszkalne</t>
  </si>
  <si>
    <t>NAZWA BUDYNKU</t>
  </si>
  <si>
    <t>Wolnostojący</t>
  </si>
  <si>
    <t>Szeregowiec/Bliźniak</t>
  </si>
  <si>
    <t>Wielorodzinny</t>
  </si>
  <si>
    <t>Mieszkalno-usługowy</t>
  </si>
  <si>
    <r>
      <t>Powierzchnia użytkowania [m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]</t>
    </r>
  </si>
  <si>
    <r>
      <t>Ogrzewana powierzchnia użytkowana [m</t>
    </r>
    <r>
      <rPr>
        <vertAlign val="superscript"/>
        <sz val="8"/>
        <rFont val="Calibri"/>
        <family val="2"/>
        <charset val="238"/>
        <scheme val="minor"/>
      </rPr>
      <t>2</t>
    </r>
    <r>
      <rPr>
        <sz val="8"/>
        <rFont val="Calibri"/>
        <family val="2"/>
        <charset val="238"/>
        <scheme val="minor"/>
      </rPr>
      <t>]</t>
    </r>
  </si>
  <si>
    <t>Wiek obiektu</t>
  </si>
  <si>
    <t>Liczba domowników</t>
  </si>
  <si>
    <t>Rodzaj ogrzewania</t>
  </si>
  <si>
    <t>Energia elektryczna [kWh/rok]</t>
  </si>
  <si>
    <t>Węgiel [tona/rok]</t>
  </si>
  <si>
    <t>Ekogroszek [tona/rok]</t>
  </si>
  <si>
    <r>
      <t>Drewno [m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>/rok]</t>
    </r>
  </si>
  <si>
    <t>Drewno [t/rok]</t>
  </si>
  <si>
    <t>Biomasa [tona/rok]</t>
  </si>
  <si>
    <r>
      <t>Gaz ziemny [m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>/rok]</t>
    </r>
  </si>
  <si>
    <r>
      <t>Gaz propan-butan [m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>/rok]</t>
    </r>
  </si>
  <si>
    <t>Gaz propan-butan [kg/rok]</t>
  </si>
  <si>
    <r>
      <t>Olej opałowy [m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>/rok]</t>
    </r>
  </si>
  <si>
    <t>roczne zużycie [kWh/rok]</t>
  </si>
  <si>
    <t xml:space="preserve">Benzyna </t>
  </si>
  <si>
    <t>LPG</t>
  </si>
  <si>
    <t xml:space="preserve">Diesel </t>
  </si>
  <si>
    <t>Jakie?</t>
  </si>
  <si>
    <t>usługowe duże</t>
  </si>
  <si>
    <t>usługowe pozostałe</t>
  </si>
  <si>
    <t>Pietrowice Wielkie</t>
  </si>
  <si>
    <t>Szkolna</t>
  </si>
  <si>
    <t>47-480</t>
  </si>
  <si>
    <t>usługowe</t>
  </si>
  <si>
    <t>Bank Spółdzielczy</t>
  </si>
  <si>
    <t>Ogrzewanie gazem z sieci</t>
  </si>
  <si>
    <t>Maków</t>
  </si>
  <si>
    <t>Raciborska</t>
  </si>
  <si>
    <t>Mariusz Wąchała Usługi Spawalnicze</t>
  </si>
  <si>
    <t>Kocioł węglowy</t>
  </si>
  <si>
    <t>Krowiarki</t>
  </si>
  <si>
    <t>Wyzwolenia</t>
  </si>
  <si>
    <t>Wulkanizacja bieżnikowa</t>
  </si>
  <si>
    <t>Kocioł węglowy retortowy</t>
  </si>
  <si>
    <t>1 Maja</t>
  </si>
  <si>
    <t>Biura, restauracja</t>
  </si>
  <si>
    <t>Wiejski Dom Towarowy (sklep, gastronomia)</t>
  </si>
  <si>
    <t>Pawilon handlowy (sklep spożywczy)</t>
  </si>
  <si>
    <t>kocioł węglowy</t>
  </si>
  <si>
    <t>Samborowice</t>
  </si>
  <si>
    <t>Opawska</t>
  </si>
  <si>
    <t>Sklep spożywczy</t>
  </si>
  <si>
    <t>Cyprzanów</t>
  </si>
  <si>
    <t>Janowska</t>
  </si>
  <si>
    <t>Sklep Cyprzanów (handel spożywczy, gastronomia)</t>
  </si>
  <si>
    <t>Pawłów</t>
  </si>
  <si>
    <t>Powstańców Śląskich</t>
  </si>
  <si>
    <t>Sklep Pawłów (handel spożywczy)</t>
  </si>
  <si>
    <t>Sklep Maków (sklep spożywczy)</t>
  </si>
  <si>
    <t>Delikatesy Centrum (handel detaliczny spożywczy)</t>
  </si>
  <si>
    <t>Pietrowicka</t>
  </si>
  <si>
    <t>WIL-MET Produkcja konstrukcji stalowych</t>
  </si>
  <si>
    <t>piec węglowy</t>
  </si>
  <si>
    <t>Świętokrzyska</t>
  </si>
  <si>
    <t>Rolnicza Spółdzielnia Produkcyjna</t>
  </si>
  <si>
    <t>Kornice</t>
  </si>
  <si>
    <t>Spacerowa</t>
  </si>
  <si>
    <t xml:space="preserve">EKO OKNA Hala nr 1 Produkcja nietypowa drzwi, rolet, moskitiery </t>
  </si>
  <si>
    <t>dwa kotły gazowe</t>
  </si>
  <si>
    <t>EKO OKNA Hala nr 2 Produkcja okien</t>
  </si>
  <si>
    <t>4 kotły kondensacyjne gazowe, 2 kotły dwufunkcyjne gazowe, 4 nagrzewnice gazowe, 32 promienników</t>
  </si>
  <si>
    <t>Żymierskiego</t>
  </si>
  <si>
    <t>SPK JEDNOŚĆ Spółdzielnia Pracy Krawieckiej</t>
  </si>
  <si>
    <t>kocioł parowy ER-25 para zwrotna</t>
  </si>
  <si>
    <t>Spółdzielcza</t>
  </si>
  <si>
    <t xml:space="preserve">RSP Maków Budynek administracyjno-biurowy </t>
  </si>
  <si>
    <t>RSP Maków Warsztat</t>
  </si>
  <si>
    <t>RSP Maków Cielętnik</t>
  </si>
  <si>
    <t>RSP Maków Obora</t>
  </si>
  <si>
    <t>RSP Maków Magazyn</t>
  </si>
  <si>
    <t>Młyńska</t>
  </si>
  <si>
    <t>Młyn</t>
  </si>
  <si>
    <t>elektryczne</t>
  </si>
  <si>
    <t>Baza Maszynowo-Transportowa w Kornicach</t>
  </si>
  <si>
    <t>ciągniki rolnicze</t>
  </si>
  <si>
    <t>mieszkalne</t>
  </si>
  <si>
    <t>1 Armii</t>
  </si>
  <si>
    <t>Nowa</t>
  </si>
  <si>
    <t>kocioł na ekogroszek z podajnikiem</t>
  </si>
  <si>
    <t>Mickiewicza</t>
  </si>
  <si>
    <t>kocioł węglowy retortowy</t>
  </si>
  <si>
    <t>Ogrodowa</t>
  </si>
  <si>
    <t>Parkowa</t>
  </si>
  <si>
    <t>Długa</t>
  </si>
  <si>
    <t>47-470</t>
  </si>
  <si>
    <t xml:space="preserve">Polna </t>
  </si>
  <si>
    <t>Sikorskiego</t>
  </si>
  <si>
    <t>Osiedleńcza</t>
  </si>
  <si>
    <t>Wiejska</t>
  </si>
  <si>
    <t>27a/1</t>
  </si>
  <si>
    <t>15a</t>
  </si>
  <si>
    <t>Świerczewskiego</t>
  </si>
  <si>
    <t>Fabryczna</t>
  </si>
  <si>
    <t>kocioł na biomasę</t>
  </si>
  <si>
    <t>Folwarczna</t>
  </si>
  <si>
    <t>Ligonia</t>
  </si>
  <si>
    <t>Główna</t>
  </si>
  <si>
    <t>Żeromskiego</t>
  </si>
  <si>
    <t>piec węglowy retortowy</t>
  </si>
  <si>
    <t>Średnia</t>
  </si>
  <si>
    <t>40/1</t>
  </si>
  <si>
    <t>kocioł olejowy</t>
  </si>
  <si>
    <t>10</t>
  </si>
  <si>
    <t>57</t>
  </si>
  <si>
    <t>21</t>
  </si>
  <si>
    <t>1</t>
  </si>
  <si>
    <t>71</t>
  </si>
  <si>
    <t>kominek - drewno</t>
  </si>
  <si>
    <t>kocioł na pellet drzewny</t>
  </si>
  <si>
    <t>40/2</t>
  </si>
  <si>
    <t>52</t>
  </si>
  <si>
    <t>34</t>
  </si>
  <si>
    <t>18a</t>
  </si>
  <si>
    <t>32</t>
  </si>
  <si>
    <t>49</t>
  </si>
  <si>
    <t>7</t>
  </si>
  <si>
    <t>9</t>
  </si>
  <si>
    <t>kocioł węglowy+gaz ziemny</t>
  </si>
  <si>
    <t>37</t>
  </si>
  <si>
    <t>30</t>
  </si>
  <si>
    <t>Kościuszki</t>
  </si>
  <si>
    <t>11</t>
  </si>
  <si>
    <t>Leśna</t>
  </si>
  <si>
    <t>2</t>
  </si>
  <si>
    <t>46</t>
  </si>
  <si>
    <t>piec węglowy, energia elektryczna</t>
  </si>
  <si>
    <t>40</t>
  </si>
  <si>
    <t>17</t>
  </si>
  <si>
    <t>64</t>
  </si>
  <si>
    <t>kocioł węglowy eko</t>
  </si>
  <si>
    <t>Zamkowa</t>
  </si>
  <si>
    <t>budynek mieszkalny - własność gminy</t>
  </si>
  <si>
    <t xml:space="preserve">Pawłów </t>
  </si>
  <si>
    <t>Sklep - własność gminy</t>
  </si>
  <si>
    <t>Urząd Pocztowy w Pietrowicach Wielkich - własność gminy</t>
  </si>
  <si>
    <t>SEKTOR MIESZKALNY</t>
  </si>
  <si>
    <t>% UDZIAŁ NOŚNIKÓW ENERGII ZUŻYWANYCH NA OGRZEWANIE BUDYNKÓW MIESZKALNYCH</t>
  </si>
  <si>
    <t>GAZ ZIEMNY (dane PGNiG)</t>
  </si>
  <si>
    <t>ENERGIA ELEKTRYCZNA (dane Tauron)</t>
  </si>
  <si>
    <t>rok</t>
  </si>
  <si>
    <t>budynki</t>
  </si>
  <si>
    <t xml:space="preserve">zasoby mieszkaniowe </t>
  </si>
  <si>
    <t>Węgiel</t>
  </si>
  <si>
    <t>Ekogroszek</t>
  </si>
  <si>
    <t>Drewno</t>
  </si>
  <si>
    <t>Biomasa</t>
  </si>
  <si>
    <t>Gaz propan-butan</t>
  </si>
  <si>
    <t>Gaz ziemny</t>
  </si>
  <si>
    <t>Olej opałowy</t>
  </si>
  <si>
    <t>Ilość użytkowników</t>
  </si>
  <si>
    <r>
      <t>Zużycie gazu [m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>]</t>
    </r>
  </si>
  <si>
    <t>w tym: ogrzewanie</t>
  </si>
  <si>
    <t>Liczba odbiorców</t>
  </si>
  <si>
    <t>Zużycie energii [MWh]</t>
  </si>
  <si>
    <t>ŚREDNIE ZUŻYCIE ENERGII NA 1 BUDYNEK MIESZKALNY</t>
  </si>
  <si>
    <t xml:space="preserve">Energia elektryczna [kWh/rok] </t>
  </si>
  <si>
    <r>
      <t>Gaz ziemny [m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 xml:space="preserve">/rok] </t>
    </r>
  </si>
  <si>
    <t>CAŁKOWITE ZUŻYCIE ENERGII [MWh/rok] - SEKTOR MIESZKALNY</t>
  </si>
  <si>
    <t>Energia elektryczna</t>
  </si>
  <si>
    <t xml:space="preserve">Węgiel </t>
  </si>
  <si>
    <t xml:space="preserve">Ekogroszek </t>
  </si>
  <si>
    <t xml:space="preserve">Drewno </t>
  </si>
  <si>
    <t xml:space="preserve">Gaz ziemny </t>
  </si>
  <si>
    <t xml:space="preserve">Gaz propan-butan </t>
  </si>
  <si>
    <t xml:space="preserve">Olej opałowy </t>
  </si>
  <si>
    <t>SUMA</t>
  </si>
  <si>
    <t>Wartość opałowa [MJ/kg]</t>
  </si>
  <si>
    <t>Węgiel [MJ/kg]</t>
  </si>
  <si>
    <t>Ekogroszek  [MJ/kg]</t>
  </si>
  <si>
    <t>Drewno [MJ/kg]</t>
  </si>
  <si>
    <t>Biomasa  [MJ/kg]</t>
  </si>
  <si>
    <t>Gaz propan-butan [MJ/m3]</t>
  </si>
  <si>
    <t>Gaz ziemny [MJ/m3]</t>
  </si>
  <si>
    <t>Olej opałowy [MJ/kg]</t>
  </si>
  <si>
    <r>
      <t>1m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 xml:space="preserve"> drewna=</t>
    </r>
  </si>
  <si>
    <t>kg</t>
  </si>
  <si>
    <t>1MJ =</t>
  </si>
  <si>
    <t>MWh</t>
  </si>
  <si>
    <t>zmiana (%)</t>
  </si>
  <si>
    <t>olej opałowy lekki</t>
  </si>
  <si>
    <r>
      <t xml:space="preserve"> kg/m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</si>
  <si>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t>kg/l</t>
  </si>
  <si>
    <r>
      <t>CAŁKOWITA 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Mg/rok] - SEKTOR MIESZKALNY</t>
    </r>
  </si>
  <si>
    <t>1kg gazu propan-butan=</t>
  </si>
  <si>
    <r>
      <t>m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</si>
  <si>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>Wskaźnik emisji [Mg CO</t>
    </r>
    <r>
      <rPr>
        <b/>
        <vertAlign val="subscript"/>
        <sz val="8"/>
        <color theme="1"/>
        <rFont val="Calibri"/>
        <family val="2"/>
        <charset val="238"/>
        <scheme val="minor"/>
      </rPr>
      <t>2</t>
    </r>
    <r>
      <rPr>
        <b/>
        <sz val="8"/>
        <color theme="1"/>
        <rFont val="Calibri"/>
        <family val="2"/>
        <charset val="238"/>
        <scheme val="minor"/>
      </rPr>
      <t>/MWh]</t>
    </r>
  </si>
  <si>
    <t>Energia elektryczn</t>
  </si>
  <si>
    <t>dane od Gminy Pietrowice Wielkie</t>
  </si>
  <si>
    <t>Projekt założeń…2009</t>
  </si>
  <si>
    <t>zes 30-04-2009</t>
  </si>
  <si>
    <t>zes 31-12-2009</t>
  </si>
  <si>
    <t>zes 30-04-2014</t>
  </si>
  <si>
    <t>zes 31-12-2014</t>
  </si>
  <si>
    <t>komunalne publiczne</t>
  </si>
  <si>
    <t>Paliwo</t>
  </si>
  <si>
    <t>Zużycie</t>
  </si>
  <si>
    <r>
      <t>Olej opałowy [dm</t>
    </r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>/rok]</t>
    </r>
  </si>
  <si>
    <t>flaga1</t>
  </si>
  <si>
    <t>Marii Konopnickiej</t>
  </si>
  <si>
    <t>Zespół Szkół w Pietrowicach Wielkich</t>
  </si>
  <si>
    <t xml:space="preserve">Gaz GZ50 [tys. m3/rok] </t>
  </si>
  <si>
    <t>Zespół Szkolno-Przedszkolny w Krowiarkach</t>
  </si>
  <si>
    <t xml:space="preserve">węgiel ekogroszek [ton/rok] </t>
  </si>
  <si>
    <t>Zespół Szkolno-Przedszkolny w Pawłowie</t>
  </si>
  <si>
    <t>Zespół Szkolno-Przedszkolny w Sambrowicach</t>
  </si>
  <si>
    <t xml:space="preserve">olej opałowy  lekki  [m3/rok] </t>
  </si>
  <si>
    <t>Przedszkole w Pietrowicach  Wielkich</t>
  </si>
  <si>
    <t>Cyprzanów </t>
  </si>
  <si>
    <t>Szkoła Podstawowa w Cyprzanowie</t>
  </si>
  <si>
    <t xml:space="preserve">węgiel kamienny [ton/rok] </t>
  </si>
  <si>
    <t xml:space="preserve">Maków </t>
  </si>
  <si>
    <t>Zespół Szkolno-Przedszkolny w Makowie</t>
  </si>
  <si>
    <t xml:space="preserve">OSP Maków </t>
  </si>
  <si>
    <t>OSP Cyprzanów </t>
  </si>
  <si>
    <t xml:space="preserve">Krowiarki </t>
  </si>
  <si>
    <t xml:space="preserve">OSP Krowiarki </t>
  </si>
  <si>
    <t>Powstańców Śl.</t>
  </si>
  <si>
    <t xml:space="preserve">OSP Pawłów </t>
  </si>
  <si>
    <t>OSP Pietrowice Wielkie</t>
  </si>
  <si>
    <t>Ośrodek Zdrowia w Krowiarkach</t>
  </si>
  <si>
    <t>Niepubliczny Zakład Opieki Zdrowotnej Zdrowie sp. z o.o.</t>
  </si>
  <si>
    <t>Urząd Gminy w Pietrowicach Wielkich</t>
  </si>
  <si>
    <t>Świetlica Cyprzanów</t>
  </si>
  <si>
    <t xml:space="preserve">Lekartów </t>
  </si>
  <si>
    <t>Kolejowa</t>
  </si>
  <si>
    <t>Świetlica - współwłasność gminy</t>
  </si>
  <si>
    <t>Świetlica</t>
  </si>
  <si>
    <t xml:space="preserve">Gródczanki </t>
  </si>
  <si>
    <t xml:space="preserve">OSP Gródczanki </t>
  </si>
  <si>
    <t xml:space="preserve">Kornice </t>
  </si>
  <si>
    <t xml:space="preserve">OSP Kornice </t>
  </si>
  <si>
    <t xml:space="preserve">OSP Lekartów </t>
  </si>
  <si>
    <t>Budynek PKP mieszkalno-użytkowy</t>
  </si>
  <si>
    <t>8b</t>
  </si>
  <si>
    <t>Gminna Biblioteka Publiczna w Pietrowicach Wielkich</t>
  </si>
  <si>
    <t>Ośrodek Pomocy Społecznej w Pietrowicach Wielkich</t>
  </si>
  <si>
    <t>Posterunek Policji w Pietrowicach Wielkich</t>
  </si>
  <si>
    <t>Zakład Gospodarki Komunalnej w Pietrowicach Wielkich</t>
  </si>
  <si>
    <t>Zespół Szkolno-Przedszkolny im. Mikołaja Kopernika w Pawłowie</t>
  </si>
  <si>
    <t xml:space="preserve">Samborowice </t>
  </si>
  <si>
    <t xml:space="preserve">OSP Samborowice </t>
  </si>
  <si>
    <t>Szkoła, biblioteka, koło kobiet wiejskich, mniejszość niemiecka - własność gminy</t>
  </si>
  <si>
    <t>Żerdziny</t>
  </si>
  <si>
    <t>OSP Żerdziny</t>
  </si>
  <si>
    <t>SEKTOR BUDOWNICTWA KOMUNALNEGO PUBLICZNEGO</t>
  </si>
  <si>
    <t>SUMA ZUŻYCIA ENERGII W 15 BUDYNKACH/URZĄDZENIACH UŻYTECZNOŚCI PUBLICZNEJ (WG ANKIET I DANYCH GMINY)</t>
  </si>
  <si>
    <t>liczba budynków</t>
  </si>
  <si>
    <t>SUMA ZUŻYCIA ENERGII (ZAŁOŻONA) W POZOSTAŁYCH 15 BUDYNKACH UŻYTECZNOŚCI PUBLICZNEJ</t>
  </si>
  <si>
    <t>SUMA ZUŻYCIA ENERGII WE WSZYSTKICH BUDYNKACH UŻYTECZNOŚCI PUBLICZNEJ</t>
  </si>
  <si>
    <t>Gaz ziemny [m3/rok]</t>
  </si>
  <si>
    <t xml:space="preserve"> kg/m3</t>
  </si>
  <si>
    <t>CAŁKOWITE ZUŻYCIE ENERGII [MWh/rok] - SEKTOR BUDOWNICTWA KOMUNALNEGO PUBLICZNEGO</t>
  </si>
  <si>
    <r>
      <t>CAŁKOWITA 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Mg/rok] - SEKTOR BUDOWNICTWA KOMUNALNEGO PUBLICZNEGO</t>
    </r>
  </si>
  <si>
    <t>SEKTOR USŁUGOWY</t>
  </si>
  <si>
    <t>ROK</t>
  </si>
  <si>
    <t>% UDZIAŁ NOŚNIKÓW ENERGII ZUŻYWANYCH NA OGRZEWANIE W SEKTORZE USŁUGOWYM</t>
  </si>
  <si>
    <t>GUS_Podmioty wg klas wielkości</t>
  </si>
  <si>
    <t>liczba odbiorców</t>
  </si>
  <si>
    <t>0 - 9</t>
  </si>
  <si>
    <t>MIKRO</t>
  </si>
  <si>
    <t>10 - 49</t>
  </si>
  <si>
    <t>MAŁE</t>
  </si>
  <si>
    <t>50 - 249</t>
  </si>
  <si>
    <t>ŚREDNIE</t>
  </si>
  <si>
    <t>250 - 999</t>
  </si>
  <si>
    <t>DUŻE</t>
  </si>
  <si>
    <t>Liczba odbiorców wg TAURON</t>
  </si>
  <si>
    <t>MIKRO, MAŁE I ŚREDNIE</t>
  </si>
  <si>
    <t>MIKRO, MAŁE I ŚREDNIE PRZEDSIĘBIORSTWA</t>
  </si>
  <si>
    <t>dane do wyliczeń</t>
  </si>
  <si>
    <t>sektor</t>
  </si>
  <si>
    <t>Węgiel [t/rok]</t>
  </si>
  <si>
    <t>Ekogroszek [t/rok]</t>
  </si>
  <si>
    <t>Biomasa [t/rok]</t>
  </si>
  <si>
    <r>
      <t>Gaz ziemny [m</t>
    </r>
    <r>
      <rPr>
        <vertAlign val="superscript"/>
        <sz val="8"/>
        <color rgb="FFFF0000"/>
        <rFont val="Calibri"/>
        <family val="2"/>
        <charset val="238"/>
        <scheme val="minor"/>
      </rPr>
      <t>3</t>
    </r>
    <r>
      <rPr>
        <sz val="8"/>
        <color rgb="FFFF0000"/>
        <rFont val="Calibri"/>
        <family val="2"/>
        <charset val="238"/>
        <scheme val="minor"/>
      </rPr>
      <t>/rok]</t>
    </r>
  </si>
  <si>
    <r>
      <t>Olej opałowy [m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/rok]</t>
    </r>
  </si>
  <si>
    <t>Liczba odbiorców wg ANKIET</t>
  </si>
  <si>
    <t>dane na podstawie ankiet</t>
  </si>
  <si>
    <t>Liczba odbiorców WYNIK</t>
  </si>
  <si>
    <t>średnie zużycie wg szacunków</t>
  </si>
  <si>
    <t>% udział na ogrzewanie</t>
  </si>
  <si>
    <t>wynik</t>
  </si>
  <si>
    <t>DUŻE PRZEDSIĘBIORSTWA</t>
  </si>
  <si>
    <t>CAŁKOWITE ZUŻYCIE ENERGII - SEKTOR USŁUGOWY</t>
  </si>
  <si>
    <t>Energia elektryczna [MWh]</t>
  </si>
  <si>
    <t>CAŁKOWITE ZUŻYCIE ENERGII  [MWh/rok] - SEKTOR USŁUGOWY</t>
  </si>
  <si>
    <r>
      <t>Gaz propan-butan [MJ/m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]</t>
    </r>
  </si>
  <si>
    <r>
      <t>Gaz ziemny [MJ/m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]</t>
    </r>
  </si>
  <si>
    <t>zmiana</t>
  </si>
  <si>
    <r>
      <t>CAŁKOWITA 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Mg/rok] - SEKTOR USŁUGOWY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</si>
</sst>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0.0%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0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bscript"/>
      <sz val="8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8"/>
      <color indexed="2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vertAlign val="superscript"/>
      <sz val="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lightDown"/>
    </fill>
    <fill>
      <patternFill patternType="solid">
        <fgColor theme="9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1" tint="0.34998626667073579"/>
      </left>
      <right style="hair">
        <color auto="1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/>
      <diagonal/>
    </border>
    <border>
      <left style="hair">
        <color auto="1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hair">
        <color auto="1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medium">
        <color theme="1" tint="0.34998626667073579"/>
      </bottom>
      <diagonal/>
    </border>
    <border>
      <left style="hair">
        <color auto="1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hair">
        <color auto="1"/>
      </right>
      <top/>
      <bottom style="hair">
        <color auto="1"/>
      </bottom>
      <diagonal/>
    </border>
    <border>
      <left style="medium">
        <color theme="1" tint="0.34998626667073579"/>
      </left>
      <right/>
      <top/>
      <bottom style="hair">
        <color auto="1"/>
      </bottom>
      <diagonal/>
    </border>
    <border>
      <left style="hair">
        <color auto="1"/>
      </left>
      <right style="medium">
        <color theme="1" tint="0.34998626667073579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medium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hair">
        <color auto="1"/>
      </top>
      <bottom style="medium">
        <color theme="1" tint="0.34998626667073579"/>
      </bottom>
      <diagonal/>
    </border>
    <border>
      <left style="hair">
        <color auto="1"/>
      </left>
      <right style="medium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indexed="64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hair">
        <color auto="1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 style="hair">
        <color auto="1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theme="1" tint="0.34998626667073579"/>
      </top>
      <bottom/>
      <diagonal/>
    </border>
    <border>
      <left style="hair">
        <color auto="1"/>
      </left>
      <right/>
      <top style="medium">
        <color theme="1" tint="0.34998626667073579"/>
      </top>
      <bottom/>
      <diagonal/>
    </border>
    <border>
      <left/>
      <right style="hair">
        <color auto="1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 style="medium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1" tint="0.34998626667073579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indexed="64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indexed="64"/>
      </left>
      <right style="medium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indexed="64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auto="1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auto="1"/>
      </right>
      <top style="medium">
        <color theme="1" tint="0.499984740745262"/>
      </top>
      <bottom/>
      <diagonal/>
    </border>
    <border>
      <left style="hair">
        <color auto="1"/>
      </left>
      <right style="hair">
        <color auto="1"/>
      </right>
      <top style="medium">
        <color theme="1" tint="0.499984740745262"/>
      </top>
      <bottom/>
      <diagonal/>
    </border>
    <border>
      <left style="hair">
        <color auto="1"/>
      </left>
      <right style="hair">
        <color theme="1" tint="0.34998626667073579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/>
      <right style="hair">
        <color theme="1" tint="0.34998626667073579"/>
      </right>
      <top/>
      <bottom style="medium">
        <color theme="1" tint="0.499984740745262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499984740745262"/>
      </bottom>
      <diagonal/>
    </border>
    <border>
      <left/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hair">
        <color theme="1" tint="0.34998626667073579"/>
      </right>
      <top/>
      <bottom style="medium">
        <color theme="1" tint="0.499984740745262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medium">
        <color theme="1" tint="0.499984740745262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medium">
        <color theme="1" tint="0.34998626667073579"/>
      </right>
      <top/>
      <bottom style="thin">
        <color indexed="64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9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shrinkToFit="1"/>
    </xf>
    <xf numFmtId="3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5" borderId="5" xfId="0" applyFont="1" applyFill="1" applyBorder="1" applyAlignment="1">
      <alignment vertical="top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center" wrapText="1" shrinkToFit="1"/>
    </xf>
    <xf numFmtId="0" fontId="5" fillId="6" borderId="8" xfId="0" applyFont="1" applyFill="1" applyBorder="1" applyAlignment="1">
      <alignment horizontal="center" vertical="center" wrapText="1" shrinkToFit="1"/>
    </xf>
    <xf numFmtId="0" fontId="5" fillId="6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horizontal="center" vertical="center" wrapText="1" shrinkToFit="1"/>
    </xf>
    <xf numFmtId="0" fontId="5" fillId="6" borderId="12" xfId="0" applyFont="1" applyFill="1" applyBorder="1" applyAlignment="1">
      <alignment horizontal="center" vertical="center" wrapText="1" shrinkToFit="1"/>
    </xf>
    <xf numFmtId="0" fontId="5" fillId="6" borderId="13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wrapText="1"/>
    </xf>
    <xf numFmtId="0" fontId="4" fillId="4" borderId="14" xfId="0" applyFont="1" applyFill="1" applyBorder="1" applyAlignment="1">
      <alignment vertical="top"/>
    </xf>
    <xf numFmtId="0" fontId="4" fillId="4" borderId="15" xfId="0" applyFont="1" applyFill="1" applyBorder="1" applyAlignment="1">
      <alignment vertical="top"/>
    </xf>
    <xf numFmtId="0" fontId="4" fillId="4" borderId="16" xfId="0" applyFont="1" applyFill="1" applyBorder="1" applyAlignment="1">
      <alignment vertical="top"/>
    </xf>
    <xf numFmtId="0" fontId="4" fillId="4" borderId="17" xfId="0" applyFont="1" applyFill="1" applyBorder="1" applyAlignment="1">
      <alignment vertical="top"/>
    </xf>
    <xf numFmtId="0" fontId="4" fillId="4" borderId="18" xfId="0" applyFont="1" applyFill="1" applyBorder="1" applyAlignment="1">
      <alignment vertical="top"/>
    </xf>
    <xf numFmtId="0" fontId="4" fillId="5" borderId="14" xfId="0" applyFont="1" applyFill="1" applyBorder="1" applyAlignment="1">
      <alignment vertical="top"/>
    </xf>
    <xf numFmtId="0" fontId="4" fillId="5" borderId="15" xfId="0" applyFont="1" applyFill="1" applyBorder="1" applyAlignment="1">
      <alignment vertical="top"/>
    </xf>
    <xf numFmtId="0" fontId="4" fillId="5" borderId="16" xfId="0" applyFon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6" fillId="7" borderId="19" xfId="0" applyFont="1" applyFill="1" applyBorder="1" applyAlignment="1">
      <alignment horizontal="center" vertical="top" wrapText="1"/>
    </xf>
    <xf numFmtId="0" fontId="6" fillId="7" borderId="20" xfId="0" applyFont="1" applyFill="1" applyBorder="1" applyAlignment="1">
      <alignment horizontal="center" vertical="top" wrapText="1"/>
    </xf>
    <xf numFmtId="49" fontId="6" fillId="7" borderId="20" xfId="0" applyNumberFormat="1" applyFont="1" applyFill="1" applyBorder="1" applyAlignment="1">
      <alignment horizontal="center" vertical="top" wrapText="1"/>
    </xf>
    <xf numFmtId="0" fontId="6" fillId="7" borderId="21" xfId="0" applyFont="1" applyFill="1" applyBorder="1" applyAlignment="1">
      <alignment horizontal="center" vertical="top" wrapText="1" shrinkToFit="1"/>
    </xf>
    <xf numFmtId="0" fontId="6" fillId="8" borderId="2" xfId="0" applyFont="1" applyFill="1" applyBorder="1" applyAlignment="1">
      <alignment horizontal="center" vertical="top" wrapText="1" shrinkToFit="1"/>
    </xf>
    <xf numFmtId="0" fontId="6" fillId="8" borderId="21" xfId="0" applyFont="1" applyFill="1" applyBorder="1" applyAlignment="1">
      <alignment horizontal="center" vertical="top" wrapText="1" shrinkToFit="1"/>
    </xf>
    <xf numFmtId="0" fontId="6" fillId="8" borderId="22" xfId="0" applyFont="1" applyFill="1" applyBorder="1" applyAlignment="1">
      <alignment horizontal="center" vertical="top" wrapText="1" shrinkToFit="1"/>
    </xf>
    <xf numFmtId="0" fontId="6" fillId="3" borderId="2" xfId="0" applyFont="1" applyFill="1" applyBorder="1" applyAlignment="1">
      <alignment horizontal="center" vertical="top" wrapText="1" shrinkToFit="1"/>
    </xf>
    <xf numFmtId="0" fontId="6" fillId="3" borderId="21" xfId="0" applyFont="1" applyFill="1" applyBorder="1" applyAlignment="1">
      <alignment horizontal="center" vertical="top" wrapText="1" shrinkToFit="1"/>
    </xf>
    <xf numFmtId="0" fontId="6" fillId="9" borderId="23" xfId="0" applyFont="1" applyFill="1" applyBorder="1" applyAlignment="1">
      <alignment vertical="top" wrapText="1"/>
    </xf>
    <xf numFmtId="0" fontId="6" fillId="10" borderId="24" xfId="0" applyFont="1" applyFill="1" applyBorder="1" applyAlignment="1">
      <alignment vertical="top" wrapText="1"/>
    </xf>
    <xf numFmtId="0" fontId="6" fillId="10" borderId="25" xfId="0" applyFont="1" applyFill="1" applyBorder="1" applyAlignment="1">
      <alignment vertical="top" wrapText="1"/>
    </xf>
    <xf numFmtId="0" fontId="10" fillId="10" borderId="25" xfId="0" applyFont="1" applyFill="1" applyBorder="1" applyAlignment="1">
      <alignment vertical="top" wrapText="1"/>
    </xf>
    <xf numFmtId="0" fontId="6" fillId="10" borderId="26" xfId="0" applyFont="1" applyFill="1" applyBorder="1" applyAlignment="1">
      <alignment vertical="top" wrapText="1"/>
    </xf>
    <xf numFmtId="0" fontId="5" fillId="11" borderId="18" xfId="0" applyFont="1" applyFill="1" applyBorder="1" applyAlignment="1">
      <alignment wrapText="1"/>
    </xf>
    <xf numFmtId="0" fontId="6" fillId="12" borderId="27" xfId="0" applyFont="1" applyFill="1" applyBorder="1" applyAlignment="1">
      <alignment horizontal="center" vertical="top" wrapText="1"/>
    </xf>
    <xf numFmtId="0" fontId="6" fillId="12" borderId="28" xfId="0" applyFont="1" applyFill="1" applyBorder="1" applyAlignment="1">
      <alignment horizontal="center" vertical="top" wrapText="1"/>
    </xf>
    <xf numFmtId="0" fontId="6" fillId="12" borderId="29" xfId="0" applyFont="1" applyFill="1" applyBorder="1" applyAlignment="1">
      <alignment horizontal="center" vertical="top" wrapText="1"/>
    </xf>
    <xf numFmtId="0" fontId="6" fillId="12" borderId="30" xfId="0" applyFont="1" applyFill="1" applyBorder="1" applyAlignment="1">
      <alignment horizontal="center" vertical="top" wrapText="1"/>
    </xf>
    <xf numFmtId="0" fontId="6" fillId="13" borderId="31" xfId="0" applyFont="1" applyFill="1" applyBorder="1" applyAlignment="1">
      <alignment horizontal="center" vertical="top" wrapText="1"/>
    </xf>
    <xf numFmtId="0" fontId="6" fillId="12" borderId="32" xfId="0" applyFont="1" applyFill="1" applyBorder="1" applyAlignment="1">
      <alignment horizontal="center" vertical="top" wrapText="1"/>
    </xf>
    <xf numFmtId="0" fontId="6" fillId="12" borderId="33" xfId="0" applyFont="1" applyFill="1" applyBorder="1" applyAlignment="1">
      <alignment horizontal="center" vertical="top" wrapText="1"/>
    </xf>
    <xf numFmtId="0" fontId="6" fillId="14" borderId="27" xfId="0" applyFont="1" applyFill="1" applyBorder="1" applyAlignment="1">
      <alignment horizontal="center" vertical="top" wrapText="1"/>
    </xf>
    <xf numFmtId="0" fontId="6" fillId="14" borderId="28" xfId="0" applyFont="1" applyFill="1" applyBorder="1" applyAlignment="1">
      <alignment horizontal="center" vertical="top" wrapText="1"/>
    </xf>
    <xf numFmtId="0" fontId="6" fillId="14" borderId="29" xfId="0" applyFont="1" applyFill="1" applyBorder="1" applyAlignment="1">
      <alignment horizontal="center" vertical="top" wrapText="1"/>
    </xf>
    <xf numFmtId="0" fontId="6" fillId="14" borderId="30" xfId="0" applyFont="1" applyFill="1" applyBorder="1" applyAlignment="1">
      <alignment horizontal="center" vertical="top" wrapText="1"/>
    </xf>
    <xf numFmtId="0" fontId="6" fillId="15" borderId="31" xfId="0" applyFont="1" applyFill="1" applyBorder="1" applyAlignment="1">
      <alignment horizontal="center" vertical="top" wrapText="1"/>
    </xf>
    <xf numFmtId="0" fontId="6" fillId="14" borderId="32" xfId="0" applyFont="1" applyFill="1" applyBorder="1" applyAlignment="1">
      <alignment horizontal="center" vertical="top" wrapText="1"/>
    </xf>
    <xf numFmtId="0" fontId="6" fillId="14" borderId="34" xfId="0" applyFont="1" applyFill="1" applyBorder="1" applyAlignment="1">
      <alignment horizontal="center" vertical="top" wrapText="1"/>
    </xf>
    <xf numFmtId="0" fontId="5" fillId="8" borderId="0" xfId="0" applyFont="1" applyFill="1" applyAlignment="1">
      <alignment wrapText="1"/>
    </xf>
    <xf numFmtId="0" fontId="11" fillId="0" borderId="35" xfId="0" applyFont="1" applyFill="1" applyBorder="1" applyAlignment="1">
      <alignment horizontal="left" vertical="center" shrinkToFit="1"/>
    </xf>
    <xf numFmtId="49" fontId="11" fillId="0" borderId="35" xfId="0" applyNumberFormat="1" applyFont="1" applyFill="1" applyBorder="1" applyAlignment="1">
      <alignment horizontal="left" vertical="center" shrinkToFit="1"/>
    </xf>
    <xf numFmtId="0" fontId="11" fillId="0" borderId="35" xfId="0" applyFont="1" applyBorder="1" applyAlignment="1">
      <alignment horizontal="left" vertical="center" shrinkToFit="1"/>
    </xf>
    <xf numFmtId="0" fontId="11" fillId="0" borderId="36" xfId="0" applyFont="1" applyBorder="1" applyAlignment="1">
      <alignment horizontal="left" vertical="center" shrinkToFit="1"/>
    </xf>
    <xf numFmtId="3" fontId="11" fillId="0" borderId="37" xfId="0" applyNumberFormat="1" applyFont="1" applyBorder="1" applyAlignment="1">
      <alignment horizontal="left" vertical="center" shrinkToFit="1"/>
    </xf>
    <xf numFmtId="3" fontId="11" fillId="0" borderId="35" xfId="0" applyNumberFormat="1" applyFont="1" applyBorder="1" applyAlignment="1">
      <alignment horizontal="left" vertical="center" shrinkToFit="1"/>
    </xf>
    <xf numFmtId="3" fontId="11" fillId="0" borderId="38" xfId="0" applyNumberFormat="1" applyFont="1" applyBorder="1" applyAlignment="1">
      <alignment horizontal="left" vertical="center" shrinkToFit="1"/>
    </xf>
    <xf numFmtId="3" fontId="11" fillId="0" borderId="36" xfId="0" applyNumberFormat="1" applyFont="1" applyBorder="1" applyAlignment="1">
      <alignment horizontal="left" vertical="center" shrinkToFit="1"/>
    </xf>
    <xf numFmtId="4" fontId="12" fillId="0" borderId="39" xfId="0" applyNumberFormat="1" applyFont="1" applyBorder="1" applyAlignment="1">
      <alignment shrinkToFit="1"/>
    </xf>
    <xf numFmtId="4" fontId="12" fillId="0" borderId="37" xfId="0" applyNumberFormat="1" applyFont="1" applyBorder="1" applyAlignment="1">
      <alignment horizontal="right" shrinkToFit="1"/>
    </xf>
    <xf numFmtId="4" fontId="12" fillId="0" borderId="35" xfId="0" applyNumberFormat="1" applyFont="1" applyBorder="1" applyAlignment="1">
      <alignment horizontal="right" shrinkToFit="1"/>
    </xf>
    <xf numFmtId="4" fontId="12" fillId="0" borderId="38" xfId="0" applyNumberFormat="1" applyFont="1" applyBorder="1" applyAlignment="1">
      <alignment horizontal="right" shrinkToFit="1"/>
    </xf>
    <xf numFmtId="4" fontId="12" fillId="0" borderId="40" xfId="0" applyNumberFormat="1" applyFont="1" applyBorder="1" applyAlignment="1">
      <alignment shrinkToFit="1"/>
    </xf>
    <xf numFmtId="3" fontId="11" fillId="0" borderId="41" xfId="0" applyNumberFormat="1" applyFont="1" applyBorder="1" applyAlignment="1">
      <alignment horizontal="left" vertical="center" shrinkToFit="1"/>
    </xf>
    <xf numFmtId="9" fontId="11" fillId="0" borderId="35" xfId="2" applyFont="1" applyBorder="1" applyAlignment="1">
      <alignment horizontal="left" vertical="center" shrinkToFit="1"/>
    </xf>
    <xf numFmtId="9" fontId="11" fillId="0" borderId="41" xfId="2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4" fontId="12" fillId="0" borderId="37" xfId="0" applyNumberFormat="1" applyFont="1" applyBorder="1" applyAlignment="1">
      <alignment shrinkToFit="1"/>
    </xf>
    <xf numFmtId="4" fontId="12" fillId="0" borderId="35" xfId="0" applyNumberFormat="1" applyFont="1" applyBorder="1" applyAlignment="1">
      <alignment shrinkToFit="1"/>
    </xf>
    <xf numFmtId="4" fontId="12" fillId="0" borderId="38" xfId="0" applyNumberFormat="1" applyFont="1" applyBorder="1" applyAlignment="1">
      <alignment shrinkToFit="1"/>
    </xf>
    <xf numFmtId="4" fontId="13" fillId="0" borderId="39" xfId="0" applyNumberFormat="1" applyFont="1" applyBorder="1" applyAlignment="1">
      <alignment shrinkToFit="1"/>
    </xf>
    <xf numFmtId="4" fontId="11" fillId="0" borderId="42" xfId="0" applyNumberFormat="1" applyFont="1" applyBorder="1" applyAlignment="1">
      <alignment horizontal="left" vertical="center" shrinkToFit="1"/>
    </xf>
    <xf numFmtId="4" fontId="11" fillId="0" borderId="42" xfId="0" applyNumberFormat="1" applyFont="1" applyBorder="1" applyAlignment="1">
      <alignment horizontal="right" vertical="center" shrinkToFit="1"/>
    </xf>
    <xf numFmtId="0" fontId="0" fillId="0" borderId="0" xfId="0" applyFill="1"/>
    <xf numFmtId="1" fontId="12" fillId="0" borderId="0" xfId="0" applyNumberFormat="1" applyFont="1" applyFill="1"/>
    <xf numFmtId="1" fontId="12" fillId="0" borderId="0" xfId="0" applyNumberFormat="1" applyFont="1" applyFill="1" applyBorder="1" applyAlignment="1">
      <alignment shrinkToFit="1"/>
    </xf>
    <xf numFmtId="1" fontId="12" fillId="0" borderId="0" xfId="0" applyNumberFormat="1" applyFont="1"/>
    <xf numFmtId="4" fontId="0" fillId="0" borderId="0" xfId="0" applyNumberFormat="1" applyFill="1"/>
    <xf numFmtId="0" fontId="1" fillId="0" borderId="0" xfId="0" applyFont="1" applyFill="1"/>
    <xf numFmtId="9" fontId="0" fillId="0" borderId="0" xfId="0" applyNumberFormat="1"/>
    <xf numFmtId="0" fontId="14" fillId="0" borderId="0" xfId="0" applyFont="1" applyAlignment="1"/>
    <xf numFmtId="0" fontId="15" fillId="0" borderId="0" xfId="0" applyFont="1"/>
    <xf numFmtId="0" fontId="3" fillId="16" borderId="43" xfId="0" applyFont="1" applyFill="1" applyBorder="1" applyAlignment="1">
      <alignment horizontal="left"/>
    </xf>
    <xf numFmtId="0" fontId="3" fillId="17" borderId="44" xfId="0" applyFont="1" applyFill="1" applyBorder="1" applyAlignment="1">
      <alignment horizontal="left"/>
    </xf>
    <xf numFmtId="0" fontId="3" fillId="17" borderId="0" xfId="0" applyFont="1" applyFill="1" applyBorder="1" applyAlignment="1">
      <alignment horizontal="left"/>
    </xf>
    <xf numFmtId="0" fontId="3" fillId="17" borderId="44" xfId="0" applyFont="1" applyFill="1" applyBorder="1" applyAlignment="1"/>
    <xf numFmtId="0" fontId="3" fillId="17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6" fillId="7" borderId="45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6" fillId="10" borderId="45" xfId="0" applyFont="1" applyFill="1" applyBorder="1" applyAlignment="1">
      <alignment horizontal="center" vertical="top" wrapText="1"/>
    </xf>
    <xf numFmtId="0" fontId="6" fillId="10" borderId="48" xfId="0" applyFont="1" applyFill="1" applyBorder="1" applyAlignment="1">
      <alignment horizontal="center" vertical="top" wrapText="1"/>
    </xf>
    <xf numFmtId="0" fontId="6" fillId="10" borderId="49" xfId="0" applyFont="1" applyFill="1" applyBorder="1" applyAlignment="1">
      <alignment horizontal="center" vertical="top" wrapText="1"/>
    </xf>
    <xf numFmtId="0" fontId="6" fillId="7" borderId="50" xfId="0" applyNumberFormat="1" applyFont="1" applyFill="1" applyBorder="1" applyAlignment="1" applyProtection="1">
      <alignment horizontal="center" vertical="center" wrapText="1"/>
    </xf>
    <xf numFmtId="3" fontId="6" fillId="7" borderId="51" xfId="0" applyNumberFormat="1" applyFont="1" applyFill="1" applyBorder="1" applyAlignment="1" applyProtection="1">
      <alignment horizontal="center" vertical="center" wrapText="1"/>
    </xf>
    <xf numFmtId="164" fontId="6" fillId="7" borderId="51" xfId="0" applyNumberFormat="1" applyFont="1" applyFill="1" applyBorder="1" applyAlignment="1" applyProtection="1">
      <alignment horizontal="center" vertical="center" wrapText="1"/>
    </xf>
    <xf numFmtId="164" fontId="6" fillId="7" borderId="52" xfId="0" applyNumberFormat="1" applyFont="1" applyFill="1" applyBorder="1" applyAlignment="1" applyProtection="1">
      <alignment horizontal="center" vertical="center" wrapText="1"/>
    </xf>
    <xf numFmtId="164" fontId="6" fillId="7" borderId="53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vertical="center" wrapText="1"/>
    </xf>
    <xf numFmtId="0" fontId="6" fillId="7" borderId="54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top" wrapText="1"/>
    </xf>
    <xf numFmtId="0" fontId="6" fillId="10" borderId="56" xfId="0" applyFont="1" applyFill="1" applyBorder="1" applyAlignment="1">
      <alignment horizontal="center" vertical="top" wrapText="1"/>
    </xf>
    <xf numFmtId="0" fontId="6" fillId="10" borderId="57" xfId="0" applyFont="1" applyFill="1" applyBorder="1" applyAlignment="1">
      <alignment horizontal="center" vertical="top" wrapText="1"/>
    </xf>
    <xf numFmtId="0" fontId="6" fillId="7" borderId="58" xfId="0" applyNumberFormat="1" applyFont="1" applyFill="1" applyBorder="1" applyAlignment="1" applyProtection="1">
      <alignment horizontal="center" vertical="center" wrapText="1"/>
    </xf>
    <xf numFmtId="3" fontId="6" fillId="7" borderId="59" xfId="0" applyNumberFormat="1" applyFont="1" applyFill="1" applyBorder="1" applyAlignment="1" applyProtection="1">
      <alignment horizontal="center" vertical="center" wrapText="1"/>
    </xf>
    <xf numFmtId="164" fontId="6" fillId="7" borderId="59" xfId="0" applyNumberFormat="1" applyFont="1" applyFill="1" applyBorder="1" applyAlignment="1" applyProtection="1">
      <alignment horizontal="center" vertical="center" wrapText="1"/>
    </xf>
    <xf numFmtId="164" fontId="6" fillId="7" borderId="60" xfId="0" applyNumberFormat="1" applyFont="1" applyFill="1" applyBorder="1" applyAlignment="1" applyProtection="1">
      <alignment horizontal="center" vertical="center" wrapText="1"/>
    </xf>
    <xf numFmtId="164" fontId="6" fillId="7" borderId="61" xfId="0" applyNumberFormat="1" applyFont="1" applyFill="1" applyBorder="1" applyAlignment="1" applyProtection="1">
      <alignment horizontal="center" vertical="center" wrapText="1"/>
    </xf>
    <xf numFmtId="0" fontId="12" fillId="0" borderId="6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 shrinkToFit="1"/>
    </xf>
    <xf numFmtId="1" fontId="12" fillId="0" borderId="63" xfId="0" applyNumberFormat="1" applyFont="1" applyBorder="1" applyAlignment="1">
      <alignment horizontal="center" shrinkToFit="1"/>
    </xf>
    <xf numFmtId="165" fontId="12" fillId="0" borderId="62" xfId="2" applyNumberFormat="1" applyFont="1" applyFill="1" applyBorder="1" applyAlignment="1">
      <alignment horizontal="center" shrinkToFit="1"/>
    </xf>
    <xf numFmtId="165" fontId="12" fillId="0" borderId="42" xfId="2" applyNumberFormat="1" applyFont="1" applyFill="1" applyBorder="1" applyAlignment="1">
      <alignment horizontal="center" shrinkToFit="1"/>
    </xf>
    <xf numFmtId="165" fontId="12" fillId="0" borderId="64" xfId="2" applyNumberFormat="1" applyFont="1" applyFill="1" applyBorder="1" applyAlignment="1">
      <alignment horizontal="center" shrinkToFit="1"/>
    </xf>
    <xf numFmtId="165" fontId="0" fillId="0" borderId="0" xfId="2" applyNumberFormat="1" applyFont="1"/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1" fontId="12" fillId="0" borderId="66" xfId="0" applyNumberFormat="1" applyFont="1" applyBorder="1" applyAlignment="1">
      <alignment horizontal="center" shrinkToFit="1"/>
    </xf>
    <xf numFmtId="4" fontId="12" fillId="0" borderId="61" xfId="0" applyNumberFormat="1" applyFont="1" applyBorder="1" applyAlignment="1">
      <alignment horizontal="center" shrinkToFit="1"/>
    </xf>
    <xf numFmtId="4" fontId="1" fillId="0" borderId="0" xfId="0" applyNumberFormat="1" applyFont="1" applyFill="1" applyBorder="1" applyAlignment="1">
      <alignment shrinkToFit="1"/>
    </xf>
    <xf numFmtId="0" fontId="12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 vertical="center" shrinkToFit="1"/>
    </xf>
    <xf numFmtId="1" fontId="12" fillId="0" borderId="69" xfId="0" applyNumberFormat="1" applyFont="1" applyBorder="1" applyAlignment="1">
      <alignment horizontal="center" shrinkToFit="1"/>
    </xf>
    <xf numFmtId="165" fontId="12" fillId="0" borderId="67" xfId="2" applyNumberFormat="1" applyFont="1" applyFill="1" applyBorder="1" applyAlignment="1">
      <alignment horizontal="center" shrinkToFit="1"/>
    </xf>
    <xf numFmtId="165" fontId="12" fillId="0" borderId="68" xfId="2" applyNumberFormat="1" applyFont="1" applyFill="1" applyBorder="1" applyAlignment="1">
      <alignment horizontal="center" shrinkToFit="1"/>
    </xf>
    <xf numFmtId="165" fontId="12" fillId="0" borderId="70" xfId="2" applyNumberFormat="1" applyFont="1" applyFill="1" applyBorder="1" applyAlignment="1">
      <alignment horizontal="center" shrinkToFit="1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1" fontId="12" fillId="0" borderId="72" xfId="0" applyNumberFormat="1" applyFont="1" applyBorder="1" applyAlignment="1">
      <alignment horizontal="center" shrinkToFit="1"/>
    </xf>
    <xf numFmtId="4" fontId="12" fillId="0" borderId="73" xfId="0" applyNumberFormat="1" applyFont="1" applyBorder="1" applyAlignment="1">
      <alignment horizontal="center" shrinkToFit="1"/>
    </xf>
    <xf numFmtId="0" fontId="12" fillId="0" borderId="0" xfId="0" applyFont="1" applyBorder="1"/>
    <xf numFmtId="165" fontId="11" fillId="0" borderId="0" xfId="0" applyNumberFormat="1" applyFont="1" applyBorder="1" applyAlignment="1">
      <alignment horizontal="left" vertical="center" shrinkToFit="1"/>
    </xf>
    <xf numFmtId="9" fontId="11" fillId="0" borderId="0" xfId="2" applyFont="1" applyBorder="1" applyAlignment="1">
      <alignment horizontal="left" vertical="center" shrinkToFit="1"/>
    </xf>
    <xf numFmtId="165" fontId="12" fillId="0" borderId="0" xfId="2" applyNumberFormat="1" applyFont="1" applyBorder="1" applyAlignment="1">
      <alignment shrinkToFit="1"/>
    </xf>
    <xf numFmtId="0" fontId="6" fillId="9" borderId="74" xfId="0" applyFont="1" applyFill="1" applyBorder="1" applyAlignment="1">
      <alignment horizontal="center" vertical="top" wrapText="1"/>
    </xf>
    <xf numFmtId="0" fontId="6" fillId="10" borderId="75" xfId="0" applyFont="1" applyFill="1" applyBorder="1" applyAlignment="1">
      <alignment horizontal="center" vertical="top" wrapText="1"/>
    </xf>
    <xf numFmtId="0" fontId="6" fillId="10" borderId="76" xfId="0" applyFont="1" applyFill="1" applyBorder="1" applyAlignment="1">
      <alignment horizontal="center" vertical="top" wrapText="1"/>
    </xf>
    <xf numFmtId="0" fontId="6" fillId="10" borderId="7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6" fillId="9" borderId="78" xfId="0" applyFont="1" applyFill="1" applyBorder="1" applyAlignment="1">
      <alignment horizontal="center" vertical="top" wrapText="1"/>
    </xf>
    <xf numFmtId="0" fontId="6" fillId="10" borderId="79" xfId="0" applyFont="1" applyFill="1" applyBorder="1" applyAlignment="1">
      <alignment horizontal="center" vertical="top" wrapText="1"/>
    </xf>
    <xf numFmtId="0" fontId="6" fillId="10" borderId="80" xfId="0" applyFont="1" applyFill="1" applyBorder="1" applyAlignment="1">
      <alignment horizontal="center" vertical="top" wrapText="1"/>
    </xf>
    <xf numFmtId="0" fontId="6" fillId="10" borderId="81" xfId="0" applyFont="1" applyFill="1" applyBorder="1" applyAlignment="1">
      <alignment horizontal="center" vertical="top" wrapText="1"/>
    </xf>
    <xf numFmtId="0" fontId="6" fillId="10" borderId="82" xfId="0" applyFont="1" applyFill="1" applyBorder="1" applyAlignment="1">
      <alignment horizontal="center" vertical="top" wrapText="1"/>
    </xf>
    <xf numFmtId="0" fontId="12" fillId="0" borderId="83" xfId="0" applyFont="1" applyBorder="1" applyAlignment="1">
      <alignment horizontal="center"/>
    </xf>
    <xf numFmtId="0" fontId="11" fillId="0" borderId="84" xfId="0" applyFont="1" applyBorder="1" applyAlignment="1">
      <alignment horizontal="center" vertical="center" shrinkToFit="1"/>
    </xf>
    <xf numFmtId="1" fontId="12" fillId="0" borderId="85" xfId="0" applyNumberFormat="1" applyFont="1" applyBorder="1" applyAlignment="1">
      <alignment horizontal="center" shrinkToFit="1"/>
    </xf>
    <xf numFmtId="164" fontId="11" fillId="0" borderId="86" xfId="0" applyNumberFormat="1" applyFont="1" applyFill="1" applyBorder="1" applyAlignment="1">
      <alignment horizontal="center" vertical="center" shrinkToFit="1"/>
    </xf>
    <xf numFmtId="164" fontId="11" fillId="0" borderId="87" xfId="0" applyNumberFormat="1" applyFont="1" applyFill="1" applyBorder="1" applyAlignment="1">
      <alignment horizontal="center" vertical="center" shrinkToFit="1"/>
    </xf>
    <xf numFmtId="164" fontId="11" fillId="0" borderId="84" xfId="0" applyNumberFormat="1" applyFont="1" applyFill="1" applyBorder="1" applyAlignment="1">
      <alignment horizontal="center" vertical="center" shrinkToFit="1"/>
    </xf>
    <xf numFmtId="164" fontId="11" fillId="0" borderId="88" xfId="0" applyNumberFormat="1" applyFont="1" applyFill="1" applyBorder="1" applyAlignment="1">
      <alignment horizontal="center" vertical="center" shrinkToFit="1"/>
    </xf>
    <xf numFmtId="164" fontId="11" fillId="0" borderId="89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/>
    <xf numFmtId="0" fontId="12" fillId="0" borderId="90" xfId="0" applyFont="1" applyBorder="1" applyAlignment="1">
      <alignment horizontal="center"/>
    </xf>
    <xf numFmtId="0" fontId="11" fillId="0" borderId="91" xfId="0" applyFont="1" applyBorder="1" applyAlignment="1">
      <alignment horizontal="center" vertical="center" shrinkToFit="1"/>
    </xf>
    <xf numFmtId="1" fontId="12" fillId="0" borderId="92" xfId="0" applyNumberFormat="1" applyFont="1" applyBorder="1" applyAlignment="1">
      <alignment horizontal="center" shrinkToFit="1"/>
    </xf>
    <xf numFmtId="164" fontId="11" fillId="0" borderId="55" xfId="0" applyNumberFormat="1" applyFont="1" applyFill="1" applyBorder="1" applyAlignment="1">
      <alignment horizontal="center" vertical="center" shrinkToFit="1"/>
    </xf>
    <xf numFmtId="164" fontId="11" fillId="0" borderId="93" xfId="0" applyNumberFormat="1" applyFont="1" applyFill="1" applyBorder="1" applyAlignment="1">
      <alignment horizontal="center" vertical="center" shrinkToFit="1"/>
    </xf>
    <xf numFmtId="164" fontId="11" fillId="0" borderId="91" xfId="0" applyNumberFormat="1" applyFont="1" applyFill="1" applyBorder="1" applyAlignment="1">
      <alignment horizontal="center" vertical="center" shrinkToFit="1"/>
    </xf>
    <xf numFmtId="164" fontId="11" fillId="0" borderId="94" xfId="0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6" fillId="9" borderId="47" xfId="0" applyFont="1" applyFill="1" applyBorder="1" applyAlignment="1">
      <alignment horizontal="center" vertical="top" wrapText="1"/>
    </xf>
    <xf numFmtId="0" fontId="16" fillId="18" borderId="47" xfId="0" applyFont="1" applyFill="1" applyBorder="1" applyAlignment="1">
      <alignment horizontal="center" vertical="center"/>
    </xf>
    <xf numFmtId="0" fontId="16" fillId="12" borderId="95" xfId="0" applyFont="1" applyFill="1" applyBorder="1" applyAlignment="1">
      <alignment horizontal="left" vertical="top"/>
    </xf>
    <xf numFmtId="0" fontId="16" fillId="12" borderId="46" xfId="0" applyFont="1" applyFill="1" applyBorder="1" applyAlignment="1">
      <alignment horizontal="center" vertical="top"/>
    </xf>
    <xf numFmtId="0" fontId="16" fillId="12" borderId="96" xfId="0" applyFont="1" applyFill="1" applyBorder="1" applyAlignment="1">
      <alignment horizontal="center" vertical="top"/>
    </xf>
    <xf numFmtId="0" fontId="6" fillId="9" borderId="55" xfId="0" applyFont="1" applyFill="1" applyBorder="1" applyAlignment="1">
      <alignment horizontal="center" vertical="top" wrapText="1"/>
    </xf>
    <xf numFmtId="0" fontId="16" fillId="18" borderId="55" xfId="0" applyFont="1" applyFill="1" applyBorder="1" applyAlignment="1">
      <alignment horizontal="center" vertical="center"/>
    </xf>
    <xf numFmtId="0" fontId="5" fillId="19" borderId="97" xfId="0" applyFont="1" applyFill="1" applyBorder="1" applyAlignment="1">
      <alignment horizontal="center" vertical="top" wrapText="1" shrinkToFit="1"/>
    </xf>
    <xf numFmtId="0" fontId="5" fillId="19" borderId="98" xfId="0" applyFont="1" applyFill="1" applyBorder="1" applyAlignment="1">
      <alignment horizontal="center" vertical="top" wrapText="1" shrinkToFit="1"/>
    </xf>
    <xf numFmtId="0" fontId="5" fillId="19" borderId="99" xfId="0" applyFont="1" applyFill="1" applyBorder="1" applyAlignment="1">
      <alignment horizontal="center" vertical="top" wrapText="1" shrinkToFit="1"/>
    </xf>
    <xf numFmtId="0" fontId="5" fillId="19" borderId="100" xfId="0" applyFont="1" applyFill="1" applyBorder="1" applyAlignment="1">
      <alignment horizontal="center" vertical="top" wrapText="1" shrinkToFit="1"/>
    </xf>
    <xf numFmtId="0" fontId="0" fillId="0" borderId="0" xfId="0" applyAlignment="1">
      <alignment horizontal="right"/>
    </xf>
    <xf numFmtId="164" fontId="11" fillId="0" borderId="101" xfId="0" applyNumberFormat="1" applyFont="1" applyBorder="1" applyAlignment="1">
      <alignment horizontal="center" vertical="center" shrinkToFit="1"/>
    </xf>
    <xf numFmtId="164" fontId="11" fillId="0" borderId="102" xfId="0" applyNumberFormat="1" applyFont="1" applyFill="1" applyBorder="1" applyAlignment="1">
      <alignment horizontal="center" vertical="center" shrinkToFit="1"/>
    </xf>
    <xf numFmtId="164" fontId="11" fillId="0" borderId="103" xfId="0" applyNumberFormat="1" applyFont="1" applyFill="1" applyBorder="1" applyAlignment="1">
      <alignment horizontal="center" vertical="center" shrinkToFit="1"/>
    </xf>
    <xf numFmtId="164" fontId="13" fillId="20" borderId="101" xfId="0" applyNumberFormat="1" applyFont="1" applyFill="1" applyBorder="1" applyAlignment="1">
      <alignment horizontal="center"/>
    </xf>
    <xf numFmtId="4" fontId="5" fillId="0" borderId="54" xfId="0" applyNumberFormat="1" applyFont="1" applyBorder="1" applyAlignment="1">
      <alignment horizontal="center" shrinkToFit="1"/>
    </xf>
    <xf numFmtId="4" fontId="5" fillId="0" borderId="56" xfId="0" applyNumberFormat="1" applyFont="1" applyBorder="1" applyAlignment="1">
      <alignment horizontal="center" shrinkToFit="1"/>
    </xf>
    <xf numFmtId="4" fontId="5" fillId="0" borderId="56" xfId="0" applyNumberFormat="1" applyFont="1" applyFill="1" applyBorder="1" applyAlignment="1">
      <alignment horizontal="center" shrinkToFit="1"/>
    </xf>
    <xf numFmtId="4" fontId="5" fillId="0" borderId="104" xfId="0" applyNumberFormat="1" applyFont="1" applyFill="1" applyBorder="1" applyAlignment="1">
      <alignment horizontal="center" shrinkToFit="1"/>
    </xf>
    <xf numFmtId="4" fontId="5" fillId="0" borderId="57" xfId="0" applyNumberFormat="1" applyFont="1" applyBorder="1" applyAlignment="1">
      <alignment horizontal="center" shrinkToFit="1"/>
    </xf>
    <xf numFmtId="3" fontId="5" fillId="21" borderId="105" xfId="0" applyNumberFormat="1" applyFont="1" applyFill="1" applyBorder="1" applyAlignment="1">
      <alignment horizontal="left" vertical="center"/>
    </xf>
    <xf numFmtId="0" fontId="16" fillId="22" borderId="102" xfId="0" applyFont="1" applyFill="1" applyBorder="1" applyAlignment="1">
      <alignment horizontal="left" vertical="center"/>
    </xf>
    <xf numFmtId="3" fontId="5" fillId="21" borderId="106" xfId="0" applyNumberFormat="1" applyFont="1" applyFill="1" applyBorder="1" applyAlignment="1">
      <alignment horizontal="left" vertical="center"/>
    </xf>
    <xf numFmtId="164" fontId="12" fillId="0" borderId="107" xfId="0" applyNumberFormat="1" applyFont="1" applyBorder="1" applyAlignment="1">
      <alignment horizontal="center" shrinkToFit="1"/>
    </xf>
    <xf numFmtId="164" fontId="11" fillId="0" borderId="80" xfId="0" applyNumberFormat="1" applyFont="1" applyFill="1" applyBorder="1" applyAlignment="1">
      <alignment horizontal="center" vertical="center" shrinkToFit="1"/>
    </xf>
    <xf numFmtId="164" fontId="11" fillId="0" borderId="108" xfId="0" applyNumberFormat="1" applyFont="1" applyFill="1" applyBorder="1" applyAlignment="1">
      <alignment horizontal="center" vertical="center" shrinkToFit="1"/>
    </xf>
    <xf numFmtId="164" fontId="13" fillId="20" borderId="107" xfId="0" applyNumberFormat="1" applyFont="1" applyFill="1" applyBorder="1" applyAlignment="1">
      <alignment horizontal="center"/>
    </xf>
    <xf numFmtId="2" fontId="0" fillId="0" borderId="0" xfId="0" applyNumberFormat="1" applyAlignment="1">
      <alignment shrinkToFit="1"/>
    </xf>
    <xf numFmtId="0" fontId="5" fillId="21" borderId="109" xfId="0" applyFont="1" applyFill="1" applyBorder="1" applyAlignment="1">
      <alignment horizontal="left" vertical="center"/>
    </xf>
    <xf numFmtId="0" fontId="18" fillId="22" borderId="110" xfId="0" applyFont="1" applyFill="1" applyBorder="1" applyAlignment="1">
      <alignment horizontal="left" vertical="center"/>
    </xf>
    <xf numFmtId="0" fontId="5" fillId="21" borderId="11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9" fillId="0" borderId="42" xfId="0" applyFont="1" applyFill="1" applyBorder="1" applyAlignment="1">
      <alignment horizontal="center" vertical="center" shrinkToFit="1"/>
    </xf>
    <xf numFmtId="165" fontId="19" fillId="0" borderId="42" xfId="2" applyNumberFormat="1" applyFont="1" applyFill="1" applyBorder="1" applyAlignment="1">
      <alignment horizontal="center" shrinkToFit="1"/>
    </xf>
    <xf numFmtId="165" fontId="20" fillId="18" borderId="55" xfId="2" applyNumberFormat="1" applyFont="1" applyFill="1" applyBorder="1" applyAlignment="1">
      <alignment horizontal="center" shrinkToFit="1"/>
    </xf>
    <xf numFmtId="2" fontId="18" fillId="22" borderId="110" xfId="0" applyNumberFormat="1" applyFont="1" applyFill="1" applyBorder="1" applyAlignment="1">
      <alignment horizontal="left" vertical="center"/>
    </xf>
    <xf numFmtId="0" fontId="5" fillId="21" borderId="90" xfId="0" applyFont="1" applyFill="1" applyBorder="1" applyAlignment="1">
      <alignment horizontal="left" vertical="center"/>
    </xf>
    <xf numFmtId="0" fontId="16" fillId="22" borderId="91" xfId="0" applyFont="1" applyFill="1" applyBorder="1" applyAlignment="1">
      <alignment horizontal="left" vertical="center"/>
    </xf>
    <xf numFmtId="0" fontId="5" fillId="21" borderId="94" xfId="0" applyFont="1" applyFill="1" applyBorder="1" applyAlignment="1">
      <alignment horizontal="left" vertical="center"/>
    </xf>
    <xf numFmtId="0" fontId="6" fillId="10" borderId="95" xfId="0" applyFont="1" applyFill="1" applyBorder="1" applyAlignment="1">
      <alignment horizontal="center" vertical="top" wrapText="1"/>
    </xf>
    <xf numFmtId="0" fontId="6" fillId="10" borderId="46" xfId="0" applyFont="1" applyFill="1" applyBorder="1" applyAlignment="1">
      <alignment horizontal="center" vertical="top" wrapText="1"/>
    </xf>
    <xf numFmtId="0" fontId="16" fillId="23" borderId="95" xfId="0" applyFont="1" applyFill="1" applyBorder="1" applyAlignment="1">
      <alignment horizontal="left" vertical="top"/>
    </xf>
    <xf numFmtId="0" fontId="16" fillId="23" borderId="46" xfId="0" applyFont="1" applyFill="1" applyBorder="1" applyAlignment="1">
      <alignment horizontal="center" vertical="top"/>
    </xf>
    <xf numFmtId="0" fontId="16" fillId="23" borderId="96" xfId="0" applyFont="1" applyFill="1" applyBorder="1" applyAlignment="1">
      <alignment horizontal="center" vertical="top"/>
    </xf>
    <xf numFmtId="0" fontId="6" fillId="10" borderId="112" xfId="0" applyFont="1" applyFill="1" applyBorder="1" applyAlignment="1">
      <alignment horizontal="center" vertical="top" wrapText="1"/>
    </xf>
    <xf numFmtId="0" fontId="6" fillId="10" borderId="43" xfId="0" applyFont="1" applyFill="1" applyBorder="1" applyAlignment="1">
      <alignment horizontal="center" vertical="top" wrapText="1"/>
    </xf>
    <xf numFmtId="0" fontId="5" fillId="24" borderId="97" xfId="0" applyFont="1" applyFill="1" applyBorder="1" applyAlignment="1">
      <alignment horizontal="center" vertical="top" wrapText="1" shrinkToFit="1"/>
    </xf>
    <xf numFmtId="0" fontId="5" fillId="24" borderId="98" xfId="0" applyFont="1" applyFill="1" applyBorder="1" applyAlignment="1">
      <alignment horizontal="center" vertical="top" wrapText="1" shrinkToFit="1"/>
    </xf>
    <xf numFmtId="0" fontId="5" fillId="24" borderId="100" xfId="0" applyFont="1" applyFill="1" applyBorder="1" applyAlignment="1">
      <alignment horizontal="center" vertical="top" wrapText="1" shrinkToFit="1"/>
    </xf>
    <xf numFmtId="0" fontId="5" fillId="0" borderId="54" xfId="0" applyFont="1" applyBorder="1" applyAlignment="1">
      <alignment horizontal="center" shrinkToFit="1"/>
    </xf>
    <xf numFmtId="0" fontId="5" fillId="0" borderId="56" xfId="0" applyFont="1" applyBorder="1" applyAlignment="1">
      <alignment horizontal="center" shrinkToFit="1"/>
    </xf>
    <xf numFmtId="0" fontId="5" fillId="0" borderId="56" xfId="0" applyFont="1" applyFill="1" applyBorder="1" applyAlignment="1">
      <alignment horizontal="center" shrinkToFit="1"/>
    </xf>
    <xf numFmtId="0" fontId="5" fillId="0" borderId="104" xfId="0" applyFont="1" applyFill="1" applyBorder="1" applyAlignment="1">
      <alignment horizontal="center" shrinkToFit="1"/>
    </xf>
    <xf numFmtId="0" fontId="5" fillId="0" borderId="57" xfId="0" applyFont="1" applyBorder="1" applyAlignment="1">
      <alignment horizontal="center" shrinkToFit="1"/>
    </xf>
    <xf numFmtId="0" fontId="0" fillId="0" borderId="0" xfId="0" applyAlignment="1">
      <alignment horizontal="center"/>
    </xf>
    <xf numFmtId="164" fontId="0" fillId="0" borderId="0" xfId="0" applyNumberFormat="1"/>
    <xf numFmtId="164" fontId="26" fillId="0" borderId="0" xfId="0" applyNumberFormat="1" applyFont="1" applyAlignment="1">
      <alignment shrinkToFit="1"/>
    </xf>
    <xf numFmtId="0" fontId="27" fillId="0" borderId="0" xfId="0" applyFont="1" applyAlignment="1"/>
    <xf numFmtId="0" fontId="1" fillId="14" borderId="17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12" borderId="16" xfId="0" applyFont="1" applyFill="1" applyBorder="1" applyAlignment="1">
      <alignment horizontal="center"/>
    </xf>
    <xf numFmtId="0" fontId="12" fillId="0" borderId="17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25" borderId="15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5" fillId="0" borderId="0" xfId="0" applyFont="1"/>
    <xf numFmtId="0" fontId="5" fillId="6" borderId="17" xfId="0" applyFont="1" applyFill="1" applyBorder="1" applyAlignment="1">
      <alignment horizontal="center" vertical="center" wrapText="1" shrinkToFit="1"/>
    </xf>
    <xf numFmtId="0" fontId="5" fillId="6" borderId="15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vertical="center" wrapText="1"/>
    </xf>
    <xf numFmtId="0" fontId="5" fillId="6" borderId="24" xfId="0" applyFont="1" applyFill="1" applyBorder="1" applyAlignment="1">
      <alignment horizontal="center" wrapText="1" shrinkToFit="1"/>
    </xf>
    <xf numFmtId="0" fontId="5" fillId="6" borderId="25" xfId="0" applyFont="1" applyFill="1" applyBorder="1" applyAlignment="1">
      <alignment horizontal="center" wrapText="1" shrinkToFit="1"/>
    </xf>
    <xf numFmtId="0" fontId="5" fillId="2" borderId="26" xfId="0" applyFont="1" applyFill="1" applyBorder="1" applyAlignment="1">
      <alignment wrapText="1"/>
    </xf>
    <xf numFmtId="0" fontId="5" fillId="6" borderId="17" xfId="0" applyFont="1" applyFill="1" applyBorder="1" applyAlignment="1">
      <alignment horizontal="center" wrapText="1" shrinkToFit="1"/>
    </xf>
    <xf numFmtId="0" fontId="5" fillId="6" borderId="15" xfId="0" applyFont="1" applyFill="1" applyBorder="1" applyAlignment="1">
      <alignment horizontal="center" wrapText="1" shrinkToFit="1"/>
    </xf>
    <xf numFmtId="0" fontId="5" fillId="6" borderId="16" xfId="0" applyFont="1" applyFill="1" applyBorder="1" applyAlignment="1">
      <alignment horizontal="center" wrapText="1" shrinkToFit="1"/>
    </xf>
    <xf numFmtId="0" fontId="5" fillId="2" borderId="16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2" fontId="28" fillId="0" borderId="0" xfId="0" applyNumberFormat="1" applyFont="1" applyAlignment="1">
      <alignment shrinkToFit="1"/>
    </xf>
    <xf numFmtId="0" fontId="28" fillId="0" borderId="0" xfId="0" applyFont="1"/>
    <xf numFmtId="0" fontId="6" fillId="10" borderId="113" xfId="0" applyFont="1" applyFill="1" applyBorder="1" applyAlignment="1">
      <alignment vertical="top" wrapText="1"/>
    </xf>
    <xf numFmtId="0" fontId="6" fillId="10" borderId="114" xfId="0" applyFont="1" applyFill="1" applyBorder="1" applyAlignment="1">
      <alignment vertical="top" wrapText="1"/>
    </xf>
    <xf numFmtId="0" fontId="6" fillId="10" borderId="115" xfId="0" applyFont="1" applyFill="1" applyBorder="1" applyAlignment="1">
      <alignment vertical="top" wrapText="1"/>
    </xf>
    <xf numFmtId="0" fontId="5" fillId="11" borderId="9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 shrinkToFit="1"/>
    </xf>
    <xf numFmtId="0" fontId="5" fillId="9" borderId="113" xfId="0" applyFont="1" applyFill="1" applyBorder="1" applyAlignment="1">
      <alignment wrapText="1" shrinkToFit="1"/>
    </xf>
    <xf numFmtId="0" fontId="5" fillId="9" borderId="114" xfId="0" applyFont="1" applyFill="1" applyBorder="1" applyAlignment="1">
      <alignment wrapText="1"/>
    </xf>
    <xf numFmtId="0" fontId="5" fillId="11" borderId="115" xfId="0" applyFont="1" applyFill="1" applyBorder="1" applyAlignment="1">
      <alignment wrapText="1"/>
    </xf>
    <xf numFmtId="0" fontId="5" fillId="11" borderId="9" xfId="0" applyFont="1" applyFill="1" applyBorder="1" applyAlignment="1">
      <alignment wrapText="1"/>
    </xf>
    <xf numFmtId="0" fontId="5" fillId="11" borderId="8" xfId="0" applyFont="1" applyFill="1" applyBorder="1" applyAlignment="1">
      <alignment wrapText="1"/>
    </xf>
    <xf numFmtId="0" fontId="12" fillId="0" borderId="38" xfId="0" applyFont="1" applyFill="1" applyBorder="1" applyAlignment="1">
      <alignment horizontal="left" vertical="center" shrinkToFit="1"/>
    </xf>
    <xf numFmtId="4" fontId="11" fillId="0" borderId="116" xfId="0" applyNumberFormat="1" applyFont="1" applyBorder="1" applyAlignment="1">
      <alignment horizontal="left" vertical="center" shrinkToFit="1"/>
    </xf>
    <xf numFmtId="4" fontId="12" fillId="0" borderId="117" xfId="0" applyNumberFormat="1" applyFont="1" applyBorder="1" applyAlignment="1">
      <alignment shrinkToFit="1"/>
    </xf>
    <xf numFmtId="0" fontId="12" fillId="0" borderId="118" xfId="0" applyFont="1" applyFill="1" applyBorder="1" applyAlignment="1">
      <alignment horizontal="left" vertical="center" shrinkToFit="1"/>
    </xf>
    <xf numFmtId="0" fontId="12" fillId="0" borderId="116" xfId="0" applyFont="1" applyBorder="1" applyAlignment="1">
      <alignment shrinkToFit="1"/>
    </xf>
    <xf numFmtId="4" fontId="12" fillId="0" borderId="42" xfId="0" applyNumberFormat="1" applyFont="1" applyBorder="1" applyAlignment="1">
      <alignment shrinkToFit="1"/>
    </xf>
    <xf numFmtId="4" fontId="11" fillId="22" borderId="116" xfId="0" applyNumberFormat="1" applyFont="1" applyFill="1" applyBorder="1" applyAlignment="1">
      <alignment horizontal="left" vertical="center" shrinkToFit="1"/>
    </xf>
    <xf numFmtId="4" fontId="11" fillId="22" borderId="42" xfId="0" applyNumberFormat="1" applyFont="1" applyFill="1" applyBorder="1" applyAlignment="1">
      <alignment horizontal="left" vertical="center" shrinkToFit="1"/>
    </xf>
    <xf numFmtId="4" fontId="12" fillId="22" borderId="117" xfId="0" applyNumberFormat="1" applyFont="1" applyFill="1" applyBorder="1" applyAlignment="1">
      <alignment shrinkToFit="1"/>
    </xf>
    <xf numFmtId="4" fontId="12" fillId="0" borderId="118" xfId="0" applyNumberFormat="1" applyFont="1" applyBorder="1" applyAlignment="1">
      <alignment shrinkToFit="1"/>
    </xf>
    <xf numFmtId="4" fontId="12" fillId="22" borderId="119" xfId="0" applyNumberFormat="1" applyFont="1" applyFill="1" applyBorder="1" applyAlignment="1">
      <alignment shrinkToFit="1"/>
    </xf>
    <xf numFmtId="4" fontId="12" fillId="0" borderId="120" xfId="0" applyNumberFormat="1" applyFont="1" applyBorder="1" applyAlignment="1">
      <alignment shrinkToFit="1"/>
    </xf>
    <xf numFmtId="2" fontId="29" fillId="0" borderId="0" xfId="0" applyNumberFormat="1" applyFont="1" applyAlignment="1">
      <alignment shrinkToFit="1"/>
    </xf>
    <xf numFmtId="0" fontId="29" fillId="0" borderId="0" xfId="0" applyFont="1" applyAlignment="1">
      <alignment shrinkToFit="1"/>
    </xf>
    <xf numFmtId="0" fontId="29" fillId="0" borderId="0" xfId="0" applyFont="1"/>
    <xf numFmtId="0" fontId="12" fillId="0" borderId="121" xfId="0" applyFont="1" applyFill="1" applyBorder="1" applyAlignment="1">
      <alignment horizontal="left" vertical="center" shrinkToFit="1"/>
    </xf>
    <xf numFmtId="0" fontId="12" fillId="0" borderId="39" xfId="0" applyFont="1" applyBorder="1" applyAlignment="1">
      <alignment shrinkToFit="1"/>
    </xf>
    <xf numFmtId="4" fontId="12" fillId="0" borderId="36" xfId="0" applyNumberFormat="1" applyFont="1" applyBorder="1" applyAlignment="1">
      <alignment shrinkToFit="1"/>
    </xf>
    <xf numFmtId="4" fontId="11" fillId="22" borderId="39" xfId="0" applyNumberFormat="1" applyFont="1" applyFill="1" applyBorder="1" applyAlignment="1">
      <alignment horizontal="left" vertical="center" shrinkToFit="1"/>
    </xf>
    <xf numFmtId="4" fontId="11" fillId="22" borderId="35" xfId="0" applyNumberFormat="1" applyFont="1" applyFill="1" applyBorder="1" applyAlignment="1">
      <alignment horizontal="left" vertical="center" shrinkToFit="1"/>
    </xf>
    <xf numFmtId="4" fontId="12" fillId="22" borderId="36" xfId="0" applyNumberFormat="1" applyFont="1" applyFill="1" applyBorder="1" applyAlignment="1">
      <alignment shrinkToFit="1"/>
    </xf>
    <xf numFmtId="4" fontId="12" fillId="0" borderId="121" xfId="0" applyNumberFormat="1" applyFont="1" applyBorder="1" applyAlignment="1">
      <alignment shrinkToFit="1"/>
    </xf>
    <xf numFmtId="4" fontId="12" fillId="22" borderId="38" xfId="0" applyNumberFormat="1" applyFont="1" applyFill="1" applyBorder="1" applyAlignment="1">
      <alignment shrinkToFit="1"/>
    </xf>
    <xf numFmtId="4" fontId="11" fillId="0" borderId="39" xfId="0" applyNumberFormat="1" applyFont="1" applyBorder="1" applyAlignment="1">
      <alignment horizontal="left" vertical="center" shrinkToFit="1"/>
    </xf>
    <xf numFmtId="4" fontId="11" fillId="0" borderId="35" xfId="0" applyNumberFormat="1" applyFont="1" applyBorder="1" applyAlignment="1">
      <alignment horizontal="left" vertical="center" shrinkToFit="1"/>
    </xf>
    <xf numFmtId="4" fontId="12" fillId="0" borderId="122" xfId="0" applyNumberFormat="1" applyFont="1" applyBorder="1" applyAlignment="1">
      <alignment shrinkToFit="1"/>
    </xf>
    <xf numFmtId="4" fontId="11" fillId="0" borderId="42" xfId="0" applyNumberFormat="1" applyFont="1" applyFill="1" applyBorder="1" applyAlignment="1">
      <alignment horizontal="left" vertical="center" shrinkToFit="1"/>
    </xf>
    <xf numFmtId="4" fontId="12" fillId="22" borderId="39" xfId="0" applyNumberFormat="1" applyFont="1" applyFill="1" applyBorder="1" applyAlignment="1">
      <alignment shrinkToFit="1"/>
    </xf>
    <xf numFmtId="4" fontId="12" fillId="22" borderId="35" xfId="0" applyNumberFormat="1" applyFont="1" applyFill="1" applyBorder="1" applyAlignment="1">
      <alignment shrinkToFit="1"/>
    </xf>
    <xf numFmtId="0" fontId="12" fillId="0" borderId="119" xfId="0" applyFont="1" applyFill="1" applyBorder="1" applyAlignment="1">
      <alignment horizontal="left" vertical="center" shrinkToFit="1"/>
    </xf>
    <xf numFmtId="4" fontId="12" fillId="0" borderId="35" xfId="0" applyNumberFormat="1" applyFont="1" applyBorder="1"/>
    <xf numFmtId="4" fontId="12" fillId="0" borderId="36" xfId="0" applyNumberFormat="1" applyFont="1" applyBorder="1"/>
    <xf numFmtId="0" fontId="1" fillId="0" borderId="0" xfId="0" applyFont="1" applyAlignment="1">
      <alignment shrinkToFit="1"/>
    </xf>
    <xf numFmtId="4" fontId="0" fillId="0" borderId="0" xfId="0" applyNumberFormat="1"/>
    <xf numFmtId="9" fontId="0" fillId="0" borderId="0" xfId="2" applyFont="1"/>
    <xf numFmtId="0" fontId="14" fillId="0" borderId="0" xfId="0" applyFont="1" applyFill="1" applyAlignment="1"/>
    <xf numFmtId="0" fontId="3" fillId="17" borderId="0" xfId="0" applyFont="1" applyFill="1" applyAlignment="1"/>
    <xf numFmtId="0" fontId="6" fillId="7" borderId="123" xfId="0" applyFont="1" applyFill="1" applyBorder="1" applyAlignment="1">
      <alignment horizontal="center" vertical="center" wrapText="1"/>
    </xf>
    <xf numFmtId="0" fontId="6" fillId="7" borderId="124" xfId="0" applyFont="1" applyFill="1" applyBorder="1" applyAlignment="1">
      <alignment horizontal="center" vertical="center" wrapText="1"/>
    </xf>
    <xf numFmtId="0" fontId="6" fillId="9" borderId="4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7" borderId="125" xfId="0" applyFont="1" applyFill="1" applyBorder="1" applyAlignment="1">
      <alignment horizontal="center" vertical="center" wrapText="1"/>
    </xf>
    <xf numFmtId="0" fontId="6" fillId="7" borderId="104" xfId="0" applyFont="1" applyFill="1" applyBorder="1" applyAlignment="1">
      <alignment horizontal="center" vertical="center" wrapText="1"/>
    </xf>
    <xf numFmtId="0" fontId="6" fillId="9" borderId="55" xfId="0" applyFont="1" applyFill="1" applyBorder="1" applyAlignment="1">
      <alignment horizontal="center" vertical="center" wrapText="1"/>
    </xf>
    <xf numFmtId="3" fontId="11" fillId="0" borderId="119" xfId="0" applyNumberFormat="1" applyFont="1" applyBorder="1" applyAlignment="1">
      <alignment horizontal="center" vertical="center" shrinkToFit="1"/>
    </xf>
    <xf numFmtId="164" fontId="11" fillId="0" borderId="126" xfId="0" applyNumberFormat="1" applyFont="1" applyBorder="1" applyAlignment="1">
      <alignment horizontal="center" vertical="center" shrinkToFit="1"/>
    </xf>
    <xf numFmtId="164" fontId="11" fillId="0" borderId="127" xfId="0" applyNumberFormat="1" applyFont="1" applyBorder="1" applyAlignment="1">
      <alignment horizontal="center" vertical="center" shrinkToFit="1"/>
    </xf>
    <xf numFmtId="0" fontId="1" fillId="26" borderId="46" xfId="0" applyFont="1" applyFill="1" applyBorder="1"/>
    <xf numFmtId="164" fontId="11" fillId="0" borderId="128" xfId="0" applyNumberFormat="1" applyFont="1" applyBorder="1" applyAlignment="1">
      <alignment horizontal="center" vertical="center" shrinkToFit="1"/>
    </xf>
    <xf numFmtId="3" fontId="11" fillId="0" borderId="129" xfId="0" applyNumberFormat="1" applyFont="1" applyBorder="1" applyAlignment="1">
      <alignment horizontal="center" vertical="center" shrinkToFit="1"/>
    </xf>
    <xf numFmtId="164" fontId="11" fillId="0" borderId="67" xfId="0" applyNumberFormat="1" applyFont="1" applyBorder="1" applyAlignment="1">
      <alignment horizontal="center" vertical="center" shrinkToFit="1"/>
    </xf>
    <xf numFmtId="164" fontId="11" fillId="0" borderId="68" xfId="0" applyNumberFormat="1" applyFont="1" applyBorder="1" applyAlignment="1">
      <alignment horizontal="center" vertical="center" shrinkToFit="1"/>
    </xf>
    <xf numFmtId="0" fontId="1" fillId="26" borderId="43" xfId="0" applyFont="1" applyFill="1" applyBorder="1"/>
    <xf numFmtId="164" fontId="11" fillId="0" borderId="70" xfId="0" applyNumberFormat="1" applyFont="1" applyBorder="1" applyAlignment="1">
      <alignment horizontal="center" vertical="center" shrinkToFit="1"/>
    </xf>
    <xf numFmtId="164" fontId="11" fillId="0" borderId="74" xfId="0" applyNumberFormat="1" applyFont="1" applyBorder="1" applyAlignment="1">
      <alignment horizontal="center" vertical="center" shrinkToFit="1"/>
    </xf>
    <xf numFmtId="164" fontId="12" fillId="0" borderId="55" xfId="0" applyNumberFormat="1" applyFont="1" applyBorder="1" applyAlignment="1">
      <alignment horizontal="center" shrinkToFit="1"/>
    </xf>
    <xf numFmtId="0" fontId="3" fillId="17" borderId="43" xfId="0" applyFont="1" applyFill="1" applyBorder="1" applyAlignment="1"/>
    <xf numFmtId="0" fontId="16" fillId="24" borderId="130" xfId="0" applyFont="1" applyFill="1" applyBorder="1" applyAlignment="1">
      <alignment horizontal="left" vertical="top"/>
    </xf>
    <xf numFmtId="0" fontId="16" fillId="24" borderId="131" xfId="0" applyFont="1" applyFill="1" applyBorder="1" applyAlignment="1">
      <alignment horizontal="center" vertical="top"/>
    </xf>
    <xf numFmtId="0" fontId="16" fillId="23" borderId="130" xfId="0" applyFont="1" applyFill="1" applyBorder="1" applyAlignment="1">
      <alignment horizontal="left" vertical="top"/>
    </xf>
    <xf numFmtId="0" fontId="16" fillId="23" borderId="131" xfId="0" applyFont="1" applyFill="1" applyBorder="1" applyAlignment="1">
      <alignment horizontal="center" vertical="top"/>
    </xf>
    <xf numFmtId="0" fontId="16" fillId="23" borderId="132" xfId="0" applyFont="1" applyFill="1" applyBorder="1" applyAlignment="1">
      <alignment horizontal="center" vertical="top"/>
    </xf>
    <xf numFmtId="0" fontId="5" fillId="24" borderId="99" xfId="0" applyFont="1" applyFill="1" applyBorder="1" applyAlignment="1">
      <alignment horizontal="center" vertical="top" wrapText="1" shrinkToFit="1"/>
    </xf>
    <xf numFmtId="0" fontId="5" fillId="23" borderId="97" xfId="0" applyFont="1" applyFill="1" applyBorder="1" applyAlignment="1">
      <alignment horizontal="center" vertical="top" wrapText="1" shrinkToFit="1"/>
    </xf>
    <xf numFmtId="0" fontId="5" fillId="23" borderId="98" xfId="0" applyFont="1" applyFill="1" applyBorder="1" applyAlignment="1">
      <alignment horizontal="center" vertical="top" wrapText="1" shrinkToFit="1"/>
    </xf>
    <xf numFmtId="0" fontId="5" fillId="23" borderId="100" xfId="0" applyFont="1" applyFill="1" applyBorder="1" applyAlignment="1">
      <alignment horizontal="center" vertical="top" wrapText="1" shrinkToFit="1"/>
    </xf>
    <xf numFmtId="4" fontId="5" fillId="0" borderId="104" xfId="0" applyNumberFormat="1" applyFont="1" applyBorder="1" applyAlignment="1">
      <alignment horizontal="center" shrinkToFit="1"/>
    </xf>
    <xf numFmtId="0" fontId="5" fillId="0" borderId="104" xfId="0" applyFont="1" applyBorder="1" applyAlignment="1">
      <alignment horizontal="center" shrinkToFit="1"/>
    </xf>
    <xf numFmtId="3" fontId="5" fillId="20" borderId="126" xfId="0" applyNumberFormat="1" applyFont="1" applyFill="1" applyBorder="1" applyAlignment="1">
      <alignment horizontal="center" shrinkToFit="1"/>
    </xf>
    <xf numFmtId="0" fontId="5" fillId="20" borderId="127" xfId="0" applyFont="1" applyFill="1" applyBorder="1" applyAlignment="1">
      <alignment horizontal="center" shrinkToFit="1"/>
    </xf>
    <xf numFmtId="3" fontId="5" fillId="20" borderId="128" xfId="0" applyNumberFormat="1" applyFont="1" applyFill="1" applyBorder="1" applyAlignment="1">
      <alignment horizontal="center" shrinkToFit="1"/>
    </xf>
    <xf numFmtId="164" fontId="11" fillId="0" borderId="133" xfId="0" applyNumberFormat="1" applyFont="1" applyBorder="1" applyAlignment="1">
      <alignment horizontal="center" vertical="center" shrinkToFit="1"/>
    </xf>
    <xf numFmtId="164" fontId="11" fillId="0" borderId="134" xfId="0" applyNumberFormat="1" applyFont="1" applyBorder="1" applyAlignment="1">
      <alignment horizontal="center" vertical="center" shrinkToFit="1"/>
    </xf>
    <xf numFmtId="164" fontId="11" fillId="0" borderId="135" xfId="0" applyNumberFormat="1" applyFont="1" applyBorder="1" applyAlignment="1">
      <alignment horizontal="center" vertical="center" shrinkToFit="1"/>
    </xf>
    <xf numFmtId="0" fontId="5" fillId="20" borderId="136" xfId="0" applyFont="1" applyFill="1" applyBorder="1" applyAlignment="1">
      <alignment horizontal="center" shrinkToFit="1"/>
    </xf>
    <xf numFmtId="0" fontId="30" fillId="20" borderId="35" xfId="0" applyFont="1" applyFill="1" applyBorder="1" applyAlignment="1">
      <alignment horizontal="center" shrinkToFit="1"/>
    </xf>
    <xf numFmtId="0" fontId="5" fillId="20" borderId="137" xfId="0" applyFont="1" applyFill="1" applyBorder="1" applyAlignment="1">
      <alignment horizontal="center" shrinkToFit="1"/>
    </xf>
    <xf numFmtId="164" fontId="11" fillId="0" borderId="138" xfId="0" applyNumberFormat="1" applyFont="1" applyBorder="1" applyAlignment="1">
      <alignment horizontal="center" vertical="center" shrinkToFit="1"/>
    </xf>
    <xf numFmtId="164" fontId="11" fillId="0" borderId="139" xfId="0" applyNumberFormat="1" applyFont="1" applyBorder="1" applyAlignment="1">
      <alignment horizontal="center" vertical="center" shrinkToFit="1"/>
    </xf>
    <xf numFmtId="164" fontId="11" fillId="0" borderId="140" xfId="0" applyNumberFormat="1" applyFont="1" applyBorder="1" applyAlignment="1">
      <alignment horizontal="center" vertical="center" shrinkToFit="1"/>
    </xf>
    <xf numFmtId="164" fontId="11" fillId="0" borderId="141" xfId="0" applyNumberFormat="1" applyFont="1" applyBorder="1" applyAlignment="1">
      <alignment horizontal="center" vertical="center" shrinkToFit="1"/>
    </xf>
    <xf numFmtId="2" fontId="1" fillId="0" borderId="0" xfId="0" applyNumberFormat="1" applyFont="1" applyAlignment="1">
      <alignment horizontal="center" shrinkToFit="1"/>
    </xf>
    <xf numFmtId="0" fontId="5" fillId="20" borderId="67" xfId="0" applyFont="1" applyFill="1" applyBorder="1" applyAlignment="1">
      <alignment horizontal="center" shrinkToFit="1"/>
    </xf>
    <xf numFmtId="2" fontId="30" fillId="20" borderId="68" xfId="0" applyNumberFormat="1" applyFont="1" applyFill="1" applyBorder="1" applyAlignment="1">
      <alignment horizontal="center" shrinkToFit="1"/>
    </xf>
    <xf numFmtId="0" fontId="5" fillId="20" borderId="70" xfId="0" applyFont="1" applyFill="1" applyBorder="1" applyAlignment="1">
      <alignment horizontal="center" shrinkToFit="1"/>
    </xf>
    <xf numFmtId="0" fontId="16" fillId="18" borderId="142" xfId="0" applyFont="1" applyFill="1" applyBorder="1" applyAlignment="1">
      <alignment horizontal="center" vertical="center"/>
    </xf>
    <xf numFmtId="0" fontId="16" fillId="18" borderId="107" xfId="0" applyFont="1" applyFill="1" applyBorder="1" applyAlignment="1">
      <alignment horizontal="center" vertical="center"/>
    </xf>
    <xf numFmtId="164" fontId="11" fillId="0" borderId="143" xfId="0" applyNumberFormat="1" applyFont="1" applyBorder="1" applyAlignment="1">
      <alignment horizontal="center" vertical="center" shrinkToFit="1"/>
    </xf>
    <xf numFmtId="164" fontId="11" fillId="0" borderId="119" xfId="0" applyNumberFormat="1" applyFont="1" applyBorder="1" applyAlignment="1">
      <alignment horizontal="center" vertical="center" shrinkToFit="1"/>
    </xf>
    <xf numFmtId="164" fontId="13" fillId="18" borderId="142" xfId="0" applyNumberFormat="1" applyFont="1" applyFill="1" applyBorder="1" applyAlignment="1">
      <alignment horizontal="center"/>
    </xf>
    <xf numFmtId="164" fontId="11" fillId="0" borderId="144" xfId="0" applyNumberFormat="1" applyFont="1" applyBorder="1" applyAlignment="1">
      <alignment horizontal="center" vertical="center" shrinkToFit="1"/>
    </xf>
    <xf numFmtId="164" fontId="11" fillId="0" borderId="145" xfId="0" applyNumberFormat="1" applyFont="1" applyBorder="1" applyAlignment="1">
      <alignment horizontal="center" vertical="center" shrinkToFit="1"/>
    </xf>
    <xf numFmtId="164" fontId="13" fillId="18" borderId="107" xfId="0" applyNumberFormat="1" applyFont="1" applyFill="1" applyBorder="1" applyAlignment="1">
      <alignment horizontal="center"/>
    </xf>
    <xf numFmtId="0" fontId="1" fillId="0" borderId="146" xfId="0" applyFont="1" applyBorder="1" applyAlignment="1">
      <alignment horizontal="center"/>
    </xf>
    <xf numFmtId="165" fontId="19" fillId="0" borderId="119" xfId="2" applyNumberFormat="1" applyFont="1" applyFill="1" applyBorder="1" applyAlignment="1">
      <alignment horizontal="center" shrinkToFit="1"/>
    </xf>
    <xf numFmtId="0" fontId="19" fillId="0" borderId="0" xfId="0" applyFont="1" applyFill="1" applyBorder="1" applyAlignment="1">
      <alignment horizontal="center" vertical="center" shrinkToFit="1"/>
    </xf>
    <xf numFmtId="164" fontId="13" fillId="18" borderId="101" xfId="0" applyNumberFormat="1" applyFont="1" applyFill="1" applyBorder="1" applyAlignment="1">
      <alignment horizontal="center"/>
    </xf>
    <xf numFmtId="0" fontId="14" fillId="0" borderId="0" xfId="0" applyFont="1"/>
    <xf numFmtId="0" fontId="5" fillId="20" borderId="147" xfId="0" applyFont="1" applyFill="1" applyBorder="1" applyAlignment="1">
      <alignment horizontal="center"/>
    </xf>
    <xf numFmtId="0" fontId="5" fillId="20" borderId="148" xfId="0" applyFont="1" applyFill="1" applyBorder="1" applyAlignment="1">
      <alignment horizontal="center"/>
    </xf>
    <xf numFmtId="1" fontId="5" fillId="20" borderId="148" xfId="0" applyNumberFormat="1" applyFont="1" applyFill="1" applyBorder="1" applyAlignment="1">
      <alignment horizontal="center"/>
    </xf>
    <xf numFmtId="1" fontId="5" fillId="20" borderId="149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27" borderId="43" xfId="0" applyFont="1" applyFill="1" applyBorder="1" applyAlignment="1"/>
    <xf numFmtId="0" fontId="1" fillId="27" borderId="0" xfId="0" applyFont="1" applyFill="1"/>
    <xf numFmtId="0" fontId="31" fillId="28" borderId="150" xfId="0" applyFont="1" applyFill="1" applyBorder="1" applyAlignment="1">
      <alignment horizontal="center" vertical="center"/>
    </xf>
    <xf numFmtId="0" fontId="31" fillId="28" borderId="151" xfId="0" applyFont="1" applyFill="1" applyBorder="1" applyAlignment="1">
      <alignment horizontal="center" vertical="center"/>
    </xf>
    <xf numFmtId="0" fontId="31" fillId="28" borderId="152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48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center" wrapText="1"/>
    </xf>
    <xf numFmtId="0" fontId="5" fillId="0" borderId="153" xfId="0" applyFont="1" applyBorder="1" applyAlignment="1">
      <alignment horizontal="left" vertical="center"/>
    </xf>
    <xf numFmtId="3" fontId="5" fillId="0" borderId="87" xfId="0" applyNumberFormat="1" applyFont="1" applyBorder="1" applyAlignment="1">
      <alignment horizontal="left"/>
    </xf>
    <xf numFmtId="3" fontId="5" fillId="0" borderId="89" xfId="0" applyNumberFormat="1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6" fillId="7" borderId="57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6" fillId="10" borderId="56" xfId="0" applyFont="1" applyFill="1" applyBorder="1" applyAlignment="1">
      <alignment horizontal="center" vertical="center" wrapText="1"/>
    </xf>
    <xf numFmtId="0" fontId="6" fillId="10" borderId="57" xfId="0" applyFont="1" applyFill="1" applyBorder="1" applyAlignment="1">
      <alignment horizontal="center" vertical="center" wrapText="1"/>
    </xf>
    <xf numFmtId="0" fontId="5" fillId="0" borderId="109" xfId="0" applyFont="1" applyBorder="1" applyAlignment="1">
      <alignment horizontal="left" vertical="center" wrapText="1"/>
    </xf>
    <xf numFmtId="0" fontId="5" fillId="0" borderId="154" xfId="0" applyFont="1" applyBorder="1" applyAlignment="1">
      <alignment horizontal="left" vertical="center"/>
    </xf>
    <xf numFmtId="3" fontId="5" fillId="0" borderId="155" xfId="0" applyNumberFormat="1" applyFont="1" applyBorder="1" applyAlignment="1">
      <alignment horizontal="left"/>
    </xf>
    <xf numFmtId="3" fontId="5" fillId="0" borderId="111" xfId="0" applyNumberFormat="1" applyFont="1" applyBorder="1" applyAlignment="1">
      <alignment horizontal="left"/>
    </xf>
    <xf numFmtId="0" fontId="12" fillId="0" borderId="0" xfId="0" applyFont="1" applyFill="1" applyBorder="1" applyAlignment="1"/>
    <xf numFmtId="1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1" fillId="0" borderId="62" xfId="0" applyFont="1" applyBorder="1" applyAlignment="1">
      <alignment horizontal="center" vertical="center" shrinkToFit="1"/>
    </xf>
    <xf numFmtId="3" fontId="11" fillId="0" borderId="64" xfId="0" applyNumberFormat="1" applyFont="1" applyBorder="1" applyAlignment="1">
      <alignment horizontal="center" vertical="center" shrinkToFit="1"/>
    </xf>
    <xf numFmtId="1" fontId="12" fillId="0" borderId="0" xfId="0" applyNumberFormat="1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wrapText="1"/>
    </xf>
    <xf numFmtId="0" fontId="11" fillId="0" borderId="67" xfId="0" applyFont="1" applyBorder="1" applyAlignment="1">
      <alignment horizontal="center" vertical="center" shrinkToFit="1"/>
    </xf>
    <xf numFmtId="3" fontId="11" fillId="0" borderId="70" xfId="0" applyNumberFormat="1" applyFont="1" applyBorder="1" applyAlignment="1">
      <alignment horizontal="center" vertical="center" shrinkToFit="1"/>
    </xf>
    <xf numFmtId="0" fontId="5" fillId="0" borderId="156" xfId="0" applyFont="1" applyFill="1" applyBorder="1" applyAlignment="1">
      <alignment horizontal="left" vertical="center" wrapText="1"/>
    </xf>
    <xf numFmtId="0" fontId="5" fillId="0" borderId="157" xfId="0" applyFont="1" applyFill="1" applyBorder="1" applyAlignment="1">
      <alignment horizontal="left" vertical="center"/>
    </xf>
    <xf numFmtId="3" fontId="5" fillId="0" borderId="158" xfId="0" applyNumberFormat="1" applyFont="1" applyFill="1" applyBorder="1" applyAlignment="1">
      <alignment horizontal="left"/>
    </xf>
    <xf numFmtId="3" fontId="5" fillId="0" borderId="159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left" vertical="center" shrinkToFit="1"/>
    </xf>
    <xf numFmtId="43" fontId="12" fillId="0" borderId="0" xfId="1" applyFont="1" applyBorder="1" applyAlignment="1">
      <alignment shrinkToFit="1"/>
    </xf>
    <xf numFmtId="0" fontId="31" fillId="28" borderId="150" xfId="0" applyFont="1" applyFill="1" applyBorder="1" applyAlignment="1">
      <alignment horizontal="left" vertical="center"/>
    </xf>
    <xf numFmtId="0" fontId="31" fillId="28" borderId="151" xfId="0" applyFont="1" applyFill="1" applyBorder="1" applyAlignment="1">
      <alignment horizontal="left" vertical="center"/>
    </xf>
    <xf numFmtId="0" fontId="31" fillId="28" borderId="152" xfId="0" applyFont="1" applyFill="1" applyBorder="1" applyAlignment="1">
      <alignment horizontal="left" vertical="center"/>
    </xf>
    <xf numFmtId="0" fontId="5" fillId="0" borderId="160" xfId="0" applyFont="1" applyBorder="1" applyAlignment="1">
      <alignment horizontal="left" vertical="center"/>
    </xf>
    <xf numFmtId="0" fontId="5" fillId="0" borderId="153" xfId="0" applyFont="1" applyBorder="1" applyAlignment="1">
      <alignment horizontal="left" vertical="center"/>
    </xf>
    <xf numFmtId="3" fontId="16" fillId="0" borderId="87" xfId="0" applyNumberFormat="1" applyFont="1" applyBorder="1" applyAlignment="1">
      <alignment horizontal="left"/>
    </xf>
    <xf numFmtId="3" fontId="16" fillId="0" borderId="89" xfId="0" applyNumberFormat="1" applyFont="1" applyBorder="1" applyAlignment="1">
      <alignment horizontal="left"/>
    </xf>
    <xf numFmtId="0" fontId="32" fillId="27" borderId="43" xfId="0" applyFont="1" applyFill="1" applyBorder="1" applyAlignment="1"/>
    <xf numFmtId="0" fontId="5" fillId="0" borderId="90" xfId="0" applyFont="1" applyBorder="1" applyAlignment="1">
      <alignment horizontal="left" vertical="center"/>
    </xf>
    <xf numFmtId="0" fontId="5" fillId="0" borderId="157" xfId="0" applyFont="1" applyBorder="1" applyAlignment="1">
      <alignment horizontal="left" vertical="center"/>
    </xf>
    <xf numFmtId="3" fontId="16" fillId="0" borderId="93" xfId="0" applyNumberFormat="1" applyFont="1" applyBorder="1" applyAlignment="1">
      <alignment horizontal="left"/>
    </xf>
    <xf numFmtId="3" fontId="16" fillId="0" borderId="94" xfId="0" applyNumberFormat="1" applyFont="1" applyBorder="1" applyAlignment="1">
      <alignment horizontal="left"/>
    </xf>
    <xf numFmtId="1" fontId="13" fillId="0" borderId="0" xfId="0" applyNumberFormat="1" applyFont="1" applyFill="1" applyBorder="1" applyAlignment="1">
      <alignment horizontal="center" wrapText="1"/>
    </xf>
    <xf numFmtId="2" fontId="13" fillId="0" borderId="0" xfId="0" applyNumberFormat="1" applyFont="1" applyFill="1" applyBorder="1" applyAlignment="1">
      <alignment horizontal="center" wrapText="1"/>
    </xf>
    <xf numFmtId="0" fontId="6" fillId="7" borderId="45" xfId="0" applyFont="1" applyFill="1" applyBorder="1" applyAlignment="1">
      <alignment horizontal="center" vertical="top" wrapText="1"/>
    </xf>
    <xf numFmtId="0" fontId="6" fillId="7" borderId="48" xfId="0" applyFont="1" applyFill="1" applyBorder="1" applyAlignment="1">
      <alignment horizontal="center" vertical="top" wrapText="1"/>
    </xf>
    <xf numFmtId="0" fontId="6" fillId="7" borderId="123" xfId="0" applyFont="1" applyFill="1" applyBorder="1" applyAlignment="1">
      <alignment horizontal="center" vertical="top" wrapText="1"/>
    </xf>
    <xf numFmtId="0" fontId="6" fillId="7" borderId="124" xfId="0" applyFont="1" applyFill="1" applyBorder="1" applyAlignment="1">
      <alignment horizontal="center" vertical="top" wrapText="1"/>
    </xf>
    <xf numFmtId="0" fontId="10" fillId="10" borderId="161" xfId="0" applyFont="1" applyFill="1" applyBorder="1" applyAlignment="1">
      <alignment horizontal="center" vertical="center" wrapText="1"/>
    </xf>
    <xf numFmtId="0" fontId="5" fillId="10" borderId="9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6" fillId="7" borderId="54" xfId="0" applyFont="1" applyFill="1" applyBorder="1" applyAlignment="1">
      <alignment horizontal="center" vertical="top" wrapText="1"/>
    </xf>
    <xf numFmtId="0" fontId="6" fillId="7" borderId="56" xfId="0" applyFont="1" applyFill="1" applyBorder="1" applyAlignment="1">
      <alignment horizontal="center" vertical="top" wrapText="1"/>
    </xf>
    <xf numFmtId="0" fontId="6" fillId="7" borderId="125" xfId="0" applyFont="1" applyFill="1" applyBorder="1" applyAlignment="1">
      <alignment horizontal="center" vertical="top" wrapText="1"/>
    </xf>
    <xf numFmtId="0" fontId="6" fillId="7" borderId="104" xfId="0" applyFont="1" applyFill="1" applyBorder="1" applyAlignment="1">
      <alignment horizontal="center" vertical="top" wrapText="1"/>
    </xf>
    <xf numFmtId="0" fontId="10" fillId="10" borderId="162" xfId="0" applyFont="1" applyFill="1" applyBorder="1" applyAlignment="1">
      <alignment horizontal="center" vertical="center" wrapText="1"/>
    </xf>
    <xf numFmtId="0" fontId="5" fillId="10" borderId="16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/>
    </xf>
    <xf numFmtId="0" fontId="12" fillId="0" borderId="62" xfId="0" applyFont="1" applyBorder="1" applyAlignment="1">
      <alignment shrinkToFit="1"/>
    </xf>
    <xf numFmtId="0" fontId="12" fillId="0" borderId="134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3" fontId="11" fillId="0" borderId="49" xfId="0" applyNumberFormat="1" applyFont="1" applyBorder="1" applyAlignment="1">
      <alignment vertical="center" shrinkToFit="1"/>
    </xf>
    <xf numFmtId="4" fontId="34" fillId="0" borderId="136" xfId="2" applyNumberFormat="1" applyFont="1" applyBorder="1" applyAlignment="1">
      <alignment horizontal="center" vertical="center" shrinkToFit="1"/>
    </xf>
    <xf numFmtId="4" fontId="34" fillId="0" borderId="35" xfId="2" applyNumberFormat="1" applyFont="1" applyBorder="1" applyAlignment="1">
      <alignment horizontal="center" vertical="center" shrinkToFit="1"/>
    </xf>
    <xf numFmtId="0" fontId="1" fillId="26" borderId="0" xfId="0" applyFont="1" applyFill="1" applyBorder="1"/>
    <xf numFmtId="4" fontId="34" fillId="0" borderId="137" xfId="2" applyNumberFormat="1" applyFont="1" applyBorder="1" applyAlignment="1">
      <alignment horizontal="center" vertical="center" shrinkToFit="1"/>
    </xf>
    <xf numFmtId="0" fontId="35" fillId="29" borderId="150" xfId="0" applyFont="1" applyFill="1" applyBorder="1" applyAlignment="1">
      <alignment horizontal="left" vertical="center"/>
    </xf>
    <xf numFmtId="0" fontId="35" fillId="29" borderId="151" xfId="0" applyFont="1" applyFill="1" applyBorder="1" applyAlignment="1">
      <alignment horizontal="left" vertical="center"/>
    </xf>
    <xf numFmtId="0" fontId="35" fillId="29" borderId="152" xfId="0" applyFont="1" applyFill="1" applyBorder="1" applyAlignment="1">
      <alignment horizontal="left" vertical="center"/>
    </xf>
    <xf numFmtId="1" fontId="0" fillId="0" borderId="0" xfId="0" applyNumberFormat="1"/>
    <xf numFmtId="0" fontId="12" fillId="0" borderId="136" xfId="0" applyFont="1" applyBorder="1" applyAlignment="1">
      <alignment shrinkToFit="1"/>
    </xf>
    <xf numFmtId="0" fontId="11" fillId="0" borderId="134" xfId="0" applyFont="1" applyBorder="1" applyAlignment="1">
      <alignment vertical="center" shrinkToFit="1"/>
    </xf>
    <xf numFmtId="3" fontId="11" fillId="0" borderId="135" xfId="0" applyNumberFormat="1" applyFont="1" applyBorder="1" applyAlignment="1">
      <alignment vertical="center" shrinkToFit="1"/>
    </xf>
    <xf numFmtId="165" fontId="12" fillId="0" borderId="42" xfId="2" applyNumberFormat="1" applyFont="1" applyBorder="1" applyAlignment="1">
      <alignment horizontal="center" shrinkToFit="1"/>
    </xf>
    <xf numFmtId="165" fontId="12" fillId="0" borderId="64" xfId="2" applyNumberFormat="1" applyFont="1" applyBorder="1" applyAlignment="1">
      <alignment horizontal="center" shrinkToFit="1"/>
    </xf>
    <xf numFmtId="0" fontId="12" fillId="21" borderId="67" xfId="0" applyFont="1" applyFill="1" applyBorder="1" applyAlignment="1">
      <alignment shrinkToFit="1"/>
    </xf>
    <xf numFmtId="0" fontId="12" fillId="21" borderId="125" xfId="0" applyFont="1" applyFill="1" applyBorder="1" applyAlignment="1">
      <alignment shrinkToFit="1"/>
    </xf>
    <xf numFmtId="0" fontId="11" fillId="21" borderId="56" xfId="0" applyFont="1" applyFill="1" applyBorder="1" applyAlignment="1">
      <alignment vertical="center" shrinkToFit="1"/>
    </xf>
    <xf numFmtId="3" fontId="11" fillId="21" borderId="104" xfId="0" applyNumberFormat="1" applyFont="1" applyFill="1" applyBorder="1" applyAlignment="1">
      <alignment horizontal="left" vertical="center" shrinkToFit="1"/>
    </xf>
    <xf numFmtId="4" fontId="34" fillId="21" borderId="67" xfId="2" applyNumberFormat="1" applyFont="1" applyFill="1" applyBorder="1" applyAlignment="1">
      <alignment horizontal="center" vertical="center" shrinkToFit="1"/>
    </xf>
    <xf numFmtId="4" fontId="34" fillId="21" borderId="68" xfId="2" applyNumberFormat="1" applyFont="1" applyFill="1" applyBorder="1" applyAlignment="1">
      <alignment horizontal="center" vertical="center" shrinkToFit="1"/>
    </xf>
    <xf numFmtId="4" fontId="34" fillId="21" borderId="129" xfId="2" applyNumberFormat="1" applyFont="1" applyFill="1" applyBorder="1" applyAlignment="1">
      <alignment horizontal="center" vertical="center" shrinkToFit="1"/>
    </xf>
    <xf numFmtId="4" fontId="34" fillId="21" borderId="70" xfId="2" applyNumberFormat="1" applyFont="1" applyFill="1" applyBorder="1" applyAlignment="1">
      <alignment horizontal="center" vertical="center" shrinkToFit="1"/>
    </xf>
    <xf numFmtId="165" fontId="12" fillId="0" borderId="67" xfId="2" applyNumberFormat="1" applyFont="1" applyBorder="1" applyAlignment="1">
      <alignment horizontal="center" shrinkToFit="1"/>
    </xf>
    <xf numFmtId="165" fontId="12" fillId="0" borderId="68" xfId="2" applyNumberFormat="1" applyFont="1" applyBorder="1" applyAlignment="1">
      <alignment horizontal="center" shrinkToFit="1"/>
    </xf>
    <xf numFmtId="165" fontId="12" fillId="0" borderId="70" xfId="2" applyNumberFormat="1" applyFont="1" applyBorder="1" applyAlignment="1">
      <alignment horizontal="center" shrinkToFit="1"/>
    </xf>
    <xf numFmtId="0" fontId="10" fillId="10" borderId="161" xfId="0" applyFont="1" applyFill="1" applyBorder="1" applyAlignment="1">
      <alignment horizontal="center" vertical="top" wrapText="1"/>
    </xf>
    <xf numFmtId="0" fontId="10" fillId="10" borderId="162" xfId="0" applyFont="1" applyFill="1" applyBorder="1" applyAlignment="1">
      <alignment horizontal="center" vertical="top" wrapText="1"/>
    </xf>
    <xf numFmtId="0" fontId="12" fillId="0" borderId="105" xfId="0" applyFont="1" applyBorder="1" applyAlignment="1">
      <alignment shrinkToFit="1"/>
    </xf>
    <xf numFmtId="0" fontId="12" fillId="0" borderId="102" xfId="0" applyFont="1" applyBorder="1" applyAlignment="1">
      <alignment vertical="center" shrinkToFit="1"/>
    </xf>
    <xf numFmtId="0" fontId="11" fillId="0" borderId="102" xfId="0" applyFont="1" applyBorder="1" applyAlignment="1">
      <alignment vertical="center" shrinkToFit="1"/>
    </xf>
    <xf numFmtId="3" fontId="11" fillId="0" borderId="106" xfId="0" applyNumberFormat="1" applyFont="1" applyBorder="1" applyAlignment="1">
      <alignment vertical="center" shrinkToFit="1"/>
    </xf>
    <xf numFmtId="4" fontId="34" fillId="0" borderId="62" xfId="2" applyNumberFormat="1" applyFont="1" applyFill="1" applyBorder="1" applyAlignment="1">
      <alignment horizontal="center" vertical="center" shrinkToFit="1"/>
    </xf>
    <xf numFmtId="0" fontId="1" fillId="26" borderId="164" xfId="0" applyFont="1" applyFill="1" applyBorder="1"/>
    <xf numFmtId="0" fontId="12" fillId="0" borderId="109" xfId="0" applyFont="1" applyBorder="1" applyAlignment="1">
      <alignment shrinkToFit="1"/>
    </xf>
    <xf numFmtId="0" fontId="12" fillId="0" borderId="110" xfId="0" applyFont="1" applyBorder="1" applyAlignment="1">
      <alignment vertical="center" shrinkToFit="1"/>
    </xf>
    <xf numFmtId="0" fontId="0" fillId="0" borderId="110" xfId="0" applyBorder="1"/>
    <xf numFmtId="0" fontId="0" fillId="0" borderId="111" xfId="0" applyBorder="1"/>
    <xf numFmtId="0" fontId="1" fillId="0" borderId="165" xfId="0" applyFont="1" applyFill="1" applyBorder="1"/>
    <xf numFmtId="0" fontId="12" fillId="0" borderId="166" xfId="0" applyFont="1" applyBorder="1" applyAlignment="1">
      <alignment shrinkToFit="1"/>
    </xf>
    <xf numFmtId="0" fontId="12" fillId="0" borderId="167" xfId="0" applyFont="1" applyBorder="1" applyAlignment="1">
      <alignment vertical="center" shrinkToFit="1"/>
    </xf>
    <xf numFmtId="0" fontId="11" fillId="0" borderId="167" xfId="0" applyFont="1" applyBorder="1" applyAlignment="1">
      <alignment vertical="center" shrinkToFit="1"/>
    </xf>
    <xf numFmtId="3" fontId="11" fillId="0" borderId="159" xfId="0" applyNumberFormat="1" applyFont="1" applyBorder="1" applyAlignment="1">
      <alignment vertical="center" shrinkToFit="1"/>
    </xf>
    <xf numFmtId="9" fontId="34" fillId="0" borderId="136" xfId="2" applyFont="1" applyBorder="1" applyAlignment="1">
      <alignment horizontal="center" vertical="center" shrinkToFit="1"/>
    </xf>
    <xf numFmtId="4" fontId="34" fillId="0" borderId="62" xfId="2" applyNumberFormat="1" applyFont="1" applyBorder="1" applyAlignment="1">
      <alignment horizontal="center" vertical="center" shrinkToFit="1"/>
    </xf>
    <xf numFmtId="0" fontId="3" fillId="15" borderId="0" xfId="0" applyFont="1" applyFill="1" applyBorder="1" applyAlignment="1">
      <alignment horizontal="left"/>
    </xf>
    <xf numFmtId="0" fontId="6" fillId="7" borderId="126" xfId="0" applyFont="1" applyFill="1" applyBorder="1" applyAlignment="1">
      <alignment horizontal="center" vertical="center" wrapText="1"/>
    </xf>
    <xf numFmtId="0" fontId="6" fillId="7" borderId="128" xfId="0" applyFont="1" applyFill="1" applyBorder="1" applyAlignment="1">
      <alignment horizontal="center" vertical="center" wrapText="1"/>
    </xf>
    <xf numFmtId="0" fontId="6" fillId="10" borderId="168" xfId="0" applyFont="1" applyFill="1" applyBorder="1" applyAlignment="1">
      <alignment horizontal="center" vertical="center" wrapText="1"/>
    </xf>
    <xf numFmtId="0" fontId="6" fillId="10" borderId="169" xfId="0" applyFont="1" applyFill="1" applyBorder="1" applyAlignment="1">
      <alignment horizontal="center" vertical="center" wrapText="1"/>
    </xf>
    <xf numFmtId="0" fontId="10" fillId="10" borderId="170" xfId="0" applyFont="1" applyFill="1" applyBorder="1" applyAlignment="1">
      <alignment horizontal="center" vertical="center" wrapText="1"/>
    </xf>
    <xf numFmtId="0" fontId="5" fillId="10" borderId="171" xfId="0" applyFont="1" applyFill="1" applyBorder="1" applyAlignment="1">
      <alignment horizontal="center" vertical="center" wrapText="1"/>
    </xf>
    <xf numFmtId="0" fontId="10" fillId="30" borderId="47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center" vertical="center" wrapText="1"/>
    </xf>
    <xf numFmtId="0" fontId="6" fillId="7" borderId="70" xfId="0" applyFont="1" applyFill="1" applyBorder="1" applyAlignment="1">
      <alignment horizontal="center" vertical="center" wrapText="1"/>
    </xf>
    <xf numFmtId="0" fontId="6" fillId="10" borderId="125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10" fillId="30" borderId="55" xfId="0" applyFont="1" applyFill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shrinkToFit="1"/>
    </xf>
    <xf numFmtId="4" fontId="34" fillId="0" borderId="64" xfId="0" applyNumberFormat="1" applyFont="1" applyBorder="1" applyAlignment="1">
      <alignment horizontal="center" vertical="center" shrinkToFit="1"/>
    </xf>
    <xf numFmtId="4" fontId="34" fillId="0" borderId="172" xfId="2" applyNumberFormat="1" applyFont="1" applyBorder="1" applyAlignment="1">
      <alignment horizontal="center" vertical="center" shrinkToFit="1"/>
    </xf>
    <xf numFmtId="4" fontId="34" fillId="0" borderId="173" xfId="2" applyNumberFormat="1" applyFont="1" applyBorder="1" applyAlignment="1">
      <alignment horizontal="center" vertical="center" shrinkToFit="1"/>
    </xf>
    <xf numFmtId="4" fontId="34" fillId="0" borderId="133" xfId="2" applyNumberFormat="1" applyFont="1" applyBorder="1" applyAlignment="1">
      <alignment horizontal="center" vertical="center" shrinkToFit="1"/>
    </xf>
    <xf numFmtId="4" fontId="34" fillId="0" borderId="174" xfId="2" applyNumberFormat="1" applyFont="1" applyBorder="1" applyAlignment="1">
      <alignment horizontal="center" vertical="center" shrinkToFit="1"/>
    </xf>
    <xf numFmtId="4" fontId="26" fillId="0" borderId="0" xfId="0" applyNumberFormat="1" applyFont="1" applyBorder="1" applyAlignment="1">
      <alignment horizontal="center"/>
    </xf>
    <xf numFmtId="4" fontId="34" fillId="0" borderId="101" xfId="2" applyNumberFormat="1" applyFont="1" applyBorder="1" applyAlignment="1">
      <alignment horizontal="center" vertical="center" shrinkToFit="1"/>
    </xf>
    <xf numFmtId="0" fontId="34" fillId="0" borderId="67" xfId="0" applyFont="1" applyBorder="1" applyAlignment="1">
      <alignment horizontal="center" vertical="center" shrinkToFit="1"/>
    </xf>
    <xf numFmtId="4" fontId="34" fillId="0" borderId="70" xfId="0" applyNumberFormat="1" applyFont="1" applyBorder="1" applyAlignment="1">
      <alignment horizontal="center" vertical="center" shrinkToFit="1"/>
    </xf>
    <xf numFmtId="4" fontId="34" fillId="0" borderId="175" xfId="2" applyNumberFormat="1" applyFont="1" applyBorder="1" applyAlignment="1">
      <alignment horizontal="center" vertical="center" shrinkToFit="1"/>
    </xf>
    <xf numFmtId="4" fontId="34" fillId="0" borderId="176" xfId="2" applyNumberFormat="1" applyFont="1" applyBorder="1" applyAlignment="1">
      <alignment horizontal="center" vertical="center" shrinkToFit="1"/>
    </xf>
    <xf numFmtId="4" fontId="34" fillId="0" borderId="177" xfId="2" applyNumberFormat="1" applyFont="1" applyBorder="1" applyAlignment="1">
      <alignment horizontal="center" vertical="center" shrinkToFit="1"/>
    </xf>
    <xf numFmtId="4" fontId="34" fillId="0" borderId="178" xfId="2" applyNumberFormat="1" applyFont="1" applyBorder="1" applyAlignment="1">
      <alignment horizontal="center" vertical="center" shrinkToFit="1"/>
    </xf>
    <xf numFmtId="4" fontId="26" fillId="0" borderId="179" xfId="0" applyNumberFormat="1" applyFont="1" applyBorder="1" applyAlignment="1">
      <alignment horizontal="center"/>
    </xf>
    <xf numFmtId="4" fontId="34" fillId="0" borderId="55" xfId="2" applyNumberFormat="1" applyFont="1" applyBorder="1" applyAlignment="1">
      <alignment horizontal="center" vertical="center" shrinkToFit="1"/>
    </xf>
    <xf numFmtId="0" fontId="3" fillId="15" borderId="43" xfId="0" applyFont="1" applyFill="1" applyBorder="1" applyAlignment="1">
      <alignment horizontal="left"/>
    </xf>
    <xf numFmtId="0" fontId="6" fillId="10" borderId="161" xfId="0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 wrapText="1"/>
    </xf>
    <xf numFmtId="0" fontId="6" fillId="30" borderId="47" xfId="0" applyFont="1" applyFill="1" applyBorder="1" applyAlignment="1">
      <alignment horizontal="center" vertical="center" wrapText="1"/>
    </xf>
    <xf numFmtId="0" fontId="16" fillId="20" borderId="180" xfId="0" applyFont="1" applyFill="1" applyBorder="1" applyAlignment="1">
      <alignment horizontal="center" vertical="top"/>
    </xf>
    <xf numFmtId="0" fontId="16" fillId="20" borderId="181" xfId="0" applyFont="1" applyFill="1" applyBorder="1" applyAlignment="1">
      <alignment horizontal="center" vertical="top"/>
    </xf>
    <xf numFmtId="0" fontId="16" fillId="20" borderId="182" xfId="0" applyFont="1" applyFill="1" applyBorder="1" applyAlignment="1">
      <alignment horizontal="center" vertical="top"/>
    </xf>
    <xf numFmtId="0" fontId="6" fillId="10" borderId="162" xfId="0" applyFont="1" applyFill="1" applyBorder="1" applyAlignment="1">
      <alignment horizontal="center" vertical="center" wrapText="1"/>
    </xf>
    <xf numFmtId="0" fontId="6" fillId="30" borderId="55" xfId="0" applyFont="1" applyFill="1" applyBorder="1" applyAlignment="1">
      <alignment horizontal="center" vertical="center" wrapText="1"/>
    </xf>
    <xf numFmtId="0" fontId="5" fillId="21" borderId="183" xfId="0" applyFont="1" applyFill="1" applyBorder="1" applyAlignment="1">
      <alignment horizontal="center" vertical="center" wrapText="1" shrinkToFit="1"/>
    </xf>
    <xf numFmtId="0" fontId="5" fillId="21" borderId="114" xfId="0" applyFont="1" applyFill="1" applyBorder="1" applyAlignment="1">
      <alignment horizontal="center" vertical="center" wrapText="1" shrinkToFit="1"/>
    </xf>
    <xf numFmtId="0" fontId="5" fillId="21" borderId="184" xfId="0" applyFont="1" applyFill="1" applyBorder="1" applyAlignment="1">
      <alignment horizontal="center" vertical="center" wrapText="1" shrinkToFit="1"/>
    </xf>
    <xf numFmtId="0" fontId="5" fillId="21" borderId="185" xfId="0" applyFont="1" applyFill="1" applyBorder="1" applyAlignment="1">
      <alignment horizontal="center" vertical="center" wrapText="1" shrinkToFit="1"/>
    </xf>
    <xf numFmtId="164" fontId="34" fillId="0" borderId="133" xfId="2" applyNumberFormat="1" applyFont="1" applyBorder="1" applyAlignment="1">
      <alignment horizontal="center" vertical="center" shrinkToFit="1"/>
    </xf>
    <xf numFmtId="164" fontId="34" fillId="0" borderId="42" xfId="2" applyNumberFormat="1" applyFont="1" applyBorder="1" applyAlignment="1">
      <alignment horizontal="center" vertical="center" shrinkToFit="1"/>
    </xf>
    <xf numFmtId="164" fontId="34" fillId="0" borderId="174" xfId="2" applyNumberFormat="1" applyFont="1" applyBorder="1" applyAlignment="1">
      <alignment horizontal="center" vertical="center" shrinkToFit="1"/>
    </xf>
    <xf numFmtId="2" fontId="26" fillId="0" borderId="186" xfId="0" applyNumberFormat="1" applyFont="1" applyBorder="1" applyAlignment="1">
      <alignment horizontal="center"/>
    </xf>
    <xf numFmtId="164" fontId="34" fillId="0" borderId="101" xfId="2" applyNumberFormat="1" applyFont="1" applyBorder="1" applyAlignment="1">
      <alignment horizontal="center" vertical="center" shrinkToFit="1"/>
    </xf>
    <xf numFmtId="164" fontId="26" fillId="0" borderId="187" xfId="0" applyNumberFormat="1" applyFont="1" applyBorder="1" applyAlignment="1">
      <alignment horizontal="center" shrinkToFit="1"/>
    </xf>
    <xf numFmtId="3" fontId="5" fillId="7" borderId="126" xfId="0" applyNumberFormat="1" applyFont="1" applyFill="1" applyBorder="1" applyAlignment="1">
      <alignment horizontal="left"/>
    </xf>
    <xf numFmtId="0" fontId="16" fillId="22" borderId="127" xfId="0" applyFont="1" applyFill="1" applyBorder="1" applyAlignment="1">
      <alignment horizontal="left"/>
    </xf>
    <xf numFmtId="3" fontId="5" fillId="20" borderId="128" xfId="0" applyNumberFormat="1" applyFont="1" applyFill="1" applyBorder="1" applyAlignment="1">
      <alignment horizontal="left"/>
    </xf>
    <xf numFmtId="164" fontId="34" fillId="0" borderId="125" xfId="2" applyNumberFormat="1" applyFont="1" applyBorder="1" applyAlignment="1">
      <alignment horizontal="center" vertical="center" shrinkToFit="1"/>
    </xf>
    <xf numFmtId="164" fontId="34" fillId="0" borderId="56" xfId="2" applyNumberFormat="1" applyFont="1" applyBorder="1" applyAlignment="1">
      <alignment horizontal="center" vertical="center" shrinkToFit="1"/>
    </xf>
    <xf numFmtId="164" fontId="34" fillId="0" borderId="162" xfId="2" applyNumberFormat="1" applyFont="1" applyBorder="1" applyAlignment="1">
      <alignment horizontal="center" vertical="center" shrinkToFit="1"/>
    </xf>
    <xf numFmtId="2" fontId="26" fillId="0" borderId="108" xfId="0" applyNumberFormat="1" applyFont="1" applyBorder="1" applyAlignment="1">
      <alignment horizontal="center"/>
    </xf>
    <xf numFmtId="164" fontId="34" fillId="0" borderId="55" xfId="2" applyNumberFormat="1" applyFont="1" applyBorder="1" applyAlignment="1">
      <alignment horizontal="center" vertical="center" shrinkToFit="1"/>
    </xf>
    <xf numFmtId="164" fontId="26" fillId="0" borderId="55" xfId="0" applyNumberFormat="1" applyFont="1" applyBorder="1" applyAlignment="1">
      <alignment horizontal="center" shrinkToFit="1"/>
    </xf>
    <xf numFmtId="3" fontId="5" fillId="7" borderId="62" xfId="0" applyNumberFormat="1" applyFont="1" applyFill="1" applyBorder="1" applyAlignment="1">
      <alignment horizontal="left"/>
    </xf>
    <xf numFmtId="0" fontId="16" fillId="22" borderId="42" xfId="0" applyFont="1" applyFill="1" applyBorder="1" applyAlignment="1">
      <alignment horizontal="left"/>
    </xf>
    <xf numFmtId="3" fontId="5" fillId="20" borderId="64" xfId="0" applyNumberFormat="1" applyFont="1" applyFill="1" applyBorder="1" applyAlignment="1">
      <alignment horizontal="left"/>
    </xf>
    <xf numFmtId="0" fontId="11" fillId="0" borderId="0" xfId="0" applyFont="1" applyBorder="1" applyAlignment="1">
      <alignment vertical="center" shrinkToFit="1"/>
    </xf>
    <xf numFmtId="0" fontId="5" fillId="7" borderId="136" xfId="0" applyFont="1" applyFill="1" applyBorder="1" applyAlignment="1">
      <alignment horizontal="left"/>
    </xf>
    <xf numFmtId="0" fontId="18" fillId="22" borderId="35" xfId="0" applyFont="1" applyFill="1" applyBorder="1" applyAlignment="1">
      <alignment horizontal="left"/>
    </xf>
    <xf numFmtId="0" fontId="5" fillId="20" borderId="137" xfId="0" applyFont="1" applyFill="1" applyBorder="1" applyAlignment="1">
      <alignment horizontal="left"/>
    </xf>
    <xf numFmtId="0" fontId="5" fillId="7" borderId="67" xfId="0" applyFont="1" applyFill="1" applyBorder="1" applyAlignment="1">
      <alignment horizontal="left"/>
    </xf>
    <xf numFmtId="2" fontId="18" fillId="22" borderId="68" xfId="0" applyNumberFormat="1" applyFont="1" applyFill="1" applyBorder="1" applyAlignment="1">
      <alignment horizontal="left"/>
    </xf>
    <xf numFmtId="0" fontId="5" fillId="20" borderId="70" xfId="0" applyFont="1" applyFill="1" applyBorder="1" applyAlignment="1">
      <alignment horizontal="left"/>
    </xf>
    <xf numFmtId="2" fontId="34" fillId="0" borderId="186" xfId="2" applyNumberFormat="1" applyFont="1" applyFill="1" applyBorder="1" applyAlignment="1">
      <alignment horizontal="center" vertical="center" shrinkToFi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eidel\AppData\Local\Microsoft\Windows\Temporary%20Internet%20Files\Content.IE5\CQXNAM1M\Pietrowice%20Wlk_baza%20emisji%20CO2_2016-03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ja CO2_suma"/>
      <sheetName val="Ankietyzacja_dane"/>
      <sheetName val="Sektor mieszkalny"/>
      <sheetName val="Ankiety_budynki publiczne"/>
      <sheetName val="Budynki publiczne"/>
      <sheetName val="Sektor usługowy"/>
      <sheetName val="PGNiG_Tauron"/>
      <sheetName val="Oświetlenie uliczne"/>
      <sheetName val="CEPiK"/>
      <sheetName val="Transport prywatny"/>
      <sheetName val="tabor gminny_PKS "/>
      <sheetName val="Efekt ekologiczny"/>
    </sheetNames>
    <sheetDataSet>
      <sheetData sheetId="0" refreshError="1"/>
      <sheetData sheetId="1">
        <row r="4">
          <cell r="E4" t="str">
            <v>usługowe, mieszkalne</v>
          </cell>
          <cell r="Q4" t="str">
            <v>Węgiel [tona/rok]</v>
          </cell>
          <cell r="R4" t="str">
            <v>Ekogroszek [tona/rok]</v>
          </cell>
          <cell r="S4" t="str">
            <v>Drewno [m3/rok]</v>
          </cell>
          <cell r="T4" t="str">
            <v>Drewno [t/rok]</v>
          </cell>
          <cell r="U4" t="str">
            <v>Biomasa [tona/rok]</v>
          </cell>
          <cell r="W4" t="str">
            <v>Gaz propan-butan [m3/rok]</v>
          </cell>
          <cell r="X4" t="str">
            <v>Gaz propan-butan [kg/rok]</v>
          </cell>
          <cell r="Y4" t="str">
            <v>Olej opałowy [m3/rok]</v>
          </cell>
          <cell r="AC4" t="str">
            <v>Węgiel [tona/rok]</v>
          </cell>
          <cell r="AD4" t="str">
            <v>Ekogroszek [tona/rok]</v>
          </cell>
          <cell r="AE4" t="str">
            <v>Drewno [m3/rok]</v>
          </cell>
          <cell r="AF4" t="str">
            <v>Drewno [t/rok]</v>
          </cell>
          <cell r="AG4" t="str">
            <v>Biomasa [tona/rok]</v>
          </cell>
          <cell r="AI4" t="str">
            <v>Gaz propan-butan [m3/rok]</v>
          </cell>
          <cell r="AJ4" t="str">
            <v>Gaz propan-butan [kg/rok]</v>
          </cell>
          <cell r="AK4" t="str">
            <v>Olej opałowy [m3/rok]</v>
          </cell>
          <cell r="BR4" t="str">
            <v>usługowe pozostałe</v>
          </cell>
        </row>
        <row r="5">
          <cell r="E5" t="str">
            <v>usługowe</v>
          </cell>
          <cell r="BR5" t="str">
            <v>usługowe</v>
          </cell>
        </row>
        <row r="6">
          <cell r="E6" t="str">
            <v>usługowe</v>
          </cell>
          <cell r="Q6">
            <v>9</v>
          </cell>
          <cell r="AC6">
            <v>8</v>
          </cell>
          <cell r="BR6" t="str">
            <v>usługowe</v>
          </cell>
        </row>
        <row r="7">
          <cell r="E7" t="str">
            <v>usługowe</v>
          </cell>
          <cell r="Q7">
            <v>0.8</v>
          </cell>
          <cell r="AC7">
            <v>0.8</v>
          </cell>
          <cell r="BR7" t="str">
            <v>usługowe</v>
          </cell>
        </row>
        <row r="8">
          <cell r="E8" t="str">
            <v>usługowe</v>
          </cell>
          <cell r="Q8">
            <v>39.78</v>
          </cell>
          <cell r="S8">
            <v>4</v>
          </cell>
          <cell r="AC8">
            <v>39.78</v>
          </cell>
          <cell r="AE8">
            <v>4</v>
          </cell>
          <cell r="BR8" t="str">
            <v>usługowe</v>
          </cell>
        </row>
        <row r="9">
          <cell r="E9" t="str">
            <v>usługowe</v>
          </cell>
          <cell r="R9">
            <v>14.38</v>
          </cell>
          <cell r="AD9">
            <v>10.53</v>
          </cell>
          <cell r="BR9" t="str">
            <v>usługowe</v>
          </cell>
        </row>
        <row r="10">
          <cell r="E10" t="str">
            <v>usługowe</v>
          </cell>
          <cell r="Q10">
            <v>14.24</v>
          </cell>
          <cell r="AC10">
            <v>15.23</v>
          </cell>
          <cell r="BR10" t="str">
            <v>usługowe</v>
          </cell>
        </row>
        <row r="11">
          <cell r="E11" t="str">
            <v>usługowe</v>
          </cell>
          <cell r="Q11">
            <v>12.9</v>
          </cell>
          <cell r="S11">
            <v>1</v>
          </cell>
          <cell r="AC11">
            <v>20</v>
          </cell>
          <cell r="AE11">
            <v>4</v>
          </cell>
          <cell r="BR11" t="str">
            <v>usługowe</v>
          </cell>
        </row>
        <row r="12">
          <cell r="E12" t="str">
            <v>usługowe</v>
          </cell>
          <cell r="Q12">
            <v>21.04</v>
          </cell>
          <cell r="S12">
            <v>1</v>
          </cell>
          <cell r="AC12">
            <v>18</v>
          </cell>
          <cell r="AE12">
            <v>2</v>
          </cell>
          <cell r="BR12" t="str">
            <v>usługowe</v>
          </cell>
        </row>
        <row r="13">
          <cell r="E13" t="str">
            <v>usługowe</v>
          </cell>
          <cell r="Q13">
            <v>30.45</v>
          </cell>
          <cell r="S13">
            <v>2</v>
          </cell>
          <cell r="AC13">
            <v>27</v>
          </cell>
          <cell r="AE13">
            <v>4</v>
          </cell>
          <cell r="BR13" t="str">
            <v>usługowe</v>
          </cell>
        </row>
        <row r="14">
          <cell r="E14" t="str">
            <v>usługowe</v>
          </cell>
          <cell r="Q14">
            <v>3</v>
          </cell>
          <cell r="S14">
            <v>0.5</v>
          </cell>
          <cell r="AC14">
            <v>1.5</v>
          </cell>
          <cell r="AE14">
            <v>2</v>
          </cell>
          <cell r="BR14" t="str">
            <v>usługowe</v>
          </cell>
        </row>
        <row r="15">
          <cell r="E15" t="str">
            <v>usługowe</v>
          </cell>
          <cell r="Q15">
            <v>26.38</v>
          </cell>
          <cell r="S15">
            <v>2</v>
          </cell>
          <cell r="AC15">
            <v>13</v>
          </cell>
          <cell r="AE15">
            <v>2</v>
          </cell>
          <cell r="BR15" t="str">
            <v>usługowe</v>
          </cell>
        </row>
        <row r="16">
          <cell r="E16" t="str">
            <v>usługowe</v>
          </cell>
          <cell r="Q16">
            <v>6</v>
          </cell>
          <cell r="AC16">
            <v>6</v>
          </cell>
        </row>
        <row r="17">
          <cell r="E17" t="str">
            <v>usługowe</v>
          </cell>
          <cell r="Q17">
            <v>15</v>
          </cell>
          <cell r="AC17">
            <v>12</v>
          </cell>
          <cell r="BR17" t="str">
            <v>usługowe</v>
          </cell>
        </row>
        <row r="18">
          <cell r="E18" t="str">
            <v>usługowe</v>
          </cell>
        </row>
        <row r="19">
          <cell r="E19" t="str">
            <v>usługowe</v>
          </cell>
        </row>
        <row r="20">
          <cell r="E20" t="str">
            <v>usługowe</v>
          </cell>
          <cell r="Q20">
            <v>240.2</v>
          </cell>
          <cell r="AC20">
            <v>212.24</v>
          </cell>
        </row>
        <row r="21">
          <cell r="E21" t="str">
            <v>usługowe</v>
          </cell>
          <cell r="BR21" t="str">
            <v>usługowe</v>
          </cell>
        </row>
        <row r="22">
          <cell r="E22" t="str">
            <v>usługowe</v>
          </cell>
          <cell r="BR22" t="str">
            <v>usługowe</v>
          </cell>
        </row>
        <row r="23">
          <cell r="E23" t="str">
            <v>usługowe</v>
          </cell>
          <cell r="BR23" t="str">
            <v>usługowe</v>
          </cell>
        </row>
        <row r="24">
          <cell r="E24" t="str">
            <v>usługowe</v>
          </cell>
          <cell r="Q24">
            <v>51</v>
          </cell>
          <cell r="AC24">
            <v>4</v>
          </cell>
          <cell r="BR24" t="str">
            <v>usługowe</v>
          </cell>
        </row>
        <row r="25">
          <cell r="E25" t="str">
            <v>usługowe</v>
          </cell>
          <cell r="BR25" t="str">
            <v>usługowe</v>
          </cell>
        </row>
        <row r="26">
          <cell r="E26" t="str">
            <v>usługowe</v>
          </cell>
          <cell r="BR26" t="str">
            <v>usługowe</v>
          </cell>
        </row>
        <row r="27">
          <cell r="E27" t="str">
            <v>usługowe</v>
          </cell>
          <cell r="Q27">
            <v>4</v>
          </cell>
          <cell r="U27">
            <v>10</v>
          </cell>
          <cell r="AC27">
            <v>4</v>
          </cell>
          <cell r="AG27">
            <v>10</v>
          </cell>
          <cell r="BR27" t="str">
            <v>usługowe</v>
          </cell>
        </row>
        <row r="28">
          <cell r="E28" t="str">
            <v>mieszkalne</v>
          </cell>
          <cell r="Q28">
            <v>5</v>
          </cell>
          <cell r="AC28">
            <v>5</v>
          </cell>
        </row>
        <row r="29">
          <cell r="E29" t="str">
            <v>mieszkalne</v>
          </cell>
          <cell r="Q29">
            <v>6</v>
          </cell>
          <cell r="AC29">
            <v>6</v>
          </cell>
        </row>
        <row r="30">
          <cell r="E30" t="str">
            <v>mieszkalne</v>
          </cell>
          <cell r="Q30">
            <v>6.5</v>
          </cell>
          <cell r="T30">
            <v>4</v>
          </cell>
          <cell r="X30">
            <v>44</v>
          </cell>
          <cell r="AC30">
            <v>5</v>
          </cell>
          <cell r="AF30">
            <v>3</v>
          </cell>
          <cell r="AJ30">
            <v>44</v>
          </cell>
        </row>
        <row r="31">
          <cell r="E31" t="str">
            <v>mieszkalne</v>
          </cell>
          <cell r="Q31">
            <v>15</v>
          </cell>
          <cell r="T31">
            <v>5</v>
          </cell>
          <cell r="X31">
            <v>66</v>
          </cell>
          <cell r="AC31">
            <v>14</v>
          </cell>
          <cell r="AF31">
            <v>4</v>
          </cell>
          <cell r="AJ31">
            <v>77</v>
          </cell>
        </row>
        <row r="32">
          <cell r="E32" t="str">
            <v>mieszkalne</v>
          </cell>
          <cell r="AD32">
            <v>1.8</v>
          </cell>
          <cell r="AE32">
            <v>6</v>
          </cell>
        </row>
        <row r="33">
          <cell r="E33" t="str">
            <v>mieszkalne</v>
          </cell>
          <cell r="AC33">
            <v>12.5</v>
          </cell>
        </row>
        <row r="34">
          <cell r="E34" t="str">
            <v>mieszkalne</v>
          </cell>
          <cell r="Q34">
            <v>10</v>
          </cell>
          <cell r="AC34">
            <v>10</v>
          </cell>
        </row>
        <row r="35">
          <cell r="E35" t="str">
            <v>mieszkalne</v>
          </cell>
          <cell r="Q35">
            <v>10</v>
          </cell>
          <cell r="AD35">
            <v>8</v>
          </cell>
        </row>
        <row r="36">
          <cell r="E36" t="str">
            <v>mieszkalne</v>
          </cell>
          <cell r="Q36">
            <v>7</v>
          </cell>
          <cell r="S36">
            <v>16</v>
          </cell>
          <cell r="AC36">
            <v>5</v>
          </cell>
          <cell r="AE36">
            <v>10</v>
          </cell>
        </row>
        <row r="37">
          <cell r="E37" t="str">
            <v>mieszkalne</v>
          </cell>
          <cell r="Q37">
            <v>5</v>
          </cell>
          <cell r="AC37">
            <v>5</v>
          </cell>
        </row>
        <row r="38">
          <cell r="E38" t="str">
            <v>mieszkalne</v>
          </cell>
          <cell r="Q38">
            <v>10</v>
          </cell>
          <cell r="AC38">
            <v>10</v>
          </cell>
        </row>
        <row r="39">
          <cell r="E39" t="str">
            <v>mieszkalne</v>
          </cell>
          <cell r="Q39">
            <v>10</v>
          </cell>
          <cell r="AC39">
            <v>10</v>
          </cell>
        </row>
        <row r="40">
          <cell r="E40" t="str">
            <v>mieszkalne</v>
          </cell>
          <cell r="Q40">
            <v>12</v>
          </cell>
          <cell r="AC40">
            <v>12</v>
          </cell>
        </row>
        <row r="41">
          <cell r="E41" t="str">
            <v>mieszkalne</v>
          </cell>
          <cell r="Q41">
            <v>5</v>
          </cell>
          <cell r="S41">
            <v>4</v>
          </cell>
          <cell r="AC41">
            <v>4</v>
          </cell>
          <cell r="AE41">
            <v>4</v>
          </cell>
        </row>
        <row r="42">
          <cell r="E42" t="str">
            <v>mieszkalne</v>
          </cell>
          <cell r="Q42">
            <v>12</v>
          </cell>
          <cell r="AC42">
            <v>10</v>
          </cell>
        </row>
        <row r="43">
          <cell r="E43" t="str">
            <v>mieszkalne</v>
          </cell>
          <cell r="R43">
            <v>9</v>
          </cell>
          <cell r="AD43">
            <v>6</v>
          </cell>
        </row>
        <row r="44">
          <cell r="E44" t="str">
            <v>mieszkalne</v>
          </cell>
          <cell r="AC44">
            <v>6</v>
          </cell>
          <cell r="AE44">
            <v>2</v>
          </cell>
        </row>
        <row r="45">
          <cell r="E45" t="str">
            <v>mieszkalne</v>
          </cell>
          <cell r="Q45">
            <v>5</v>
          </cell>
          <cell r="AC45">
            <v>5</v>
          </cell>
        </row>
        <row r="46">
          <cell r="E46" t="str">
            <v>mieszkalne</v>
          </cell>
          <cell r="Q46">
            <v>4</v>
          </cell>
          <cell r="S46">
            <v>6</v>
          </cell>
          <cell r="AD46">
            <v>5</v>
          </cell>
          <cell r="AE46">
            <v>3</v>
          </cell>
        </row>
        <row r="47">
          <cell r="E47" t="str">
            <v>mieszkalne</v>
          </cell>
          <cell r="R47">
            <v>4.5</v>
          </cell>
          <cell r="AD47">
            <v>4</v>
          </cell>
        </row>
        <row r="48">
          <cell r="E48" t="str">
            <v>mieszkalne</v>
          </cell>
          <cell r="R48">
            <v>5</v>
          </cell>
          <cell r="AD48">
            <v>4.5</v>
          </cell>
        </row>
        <row r="49">
          <cell r="E49" t="str">
            <v>mieszkalne</v>
          </cell>
          <cell r="Q49">
            <v>6</v>
          </cell>
          <cell r="S49">
            <v>5</v>
          </cell>
          <cell r="W49">
            <v>64.320000000000007</v>
          </cell>
          <cell r="AC49">
            <v>6</v>
          </cell>
        </row>
        <row r="50">
          <cell r="E50" t="str">
            <v>mieszkalne</v>
          </cell>
          <cell r="Q50">
            <v>3.5</v>
          </cell>
          <cell r="AC50">
            <v>3</v>
          </cell>
        </row>
        <row r="51">
          <cell r="E51" t="str">
            <v>mieszkalne</v>
          </cell>
          <cell r="R51">
            <v>6</v>
          </cell>
          <cell r="AD51">
            <v>6</v>
          </cell>
        </row>
        <row r="52">
          <cell r="E52" t="str">
            <v>mieszkalne</v>
          </cell>
          <cell r="Q52">
            <v>6.5</v>
          </cell>
          <cell r="AC52">
            <v>6.5</v>
          </cell>
        </row>
        <row r="53">
          <cell r="E53" t="str">
            <v>mieszkalne</v>
          </cell>
          <cell r="AD53">
            <v>4</v>
          </cell>
        </row>
        <row r="54">
          <cell r="E54" t="str">
            <v>mieszkalne</v>
          </cell>
          <cell r="Q54">
            <v>7</v>
          </cell>
          <cell r="AC54">
            <v>8</v>
          </cell>
        </row>
        <row r="55">
          <cell r="E55" t="str">
            <v>mieszkalne</v>
          </cell>
          <cell r="AF55">
            <v>5</v>
          </cell>
          <cell r="AG55">
            <v>1</v>
          </cell>
        </row>
        <row r="56">
          <cell r="E56" t="str">
            <v>mieszkalne</v>
          </cell>
          <cell r="Q56">
            <v>5</v>
          </cell>
          <cell r="AC56">
            <v>5</v>
          </cell>
        </row>
        <row r="57">
          <cell r="E57" t="str">
            <v>mieszkalne</v>
          </cell>
          <cell r="Q57">
            <v>6</v>
          </cell>
          <cell r="AD57">
            <v>6</v>
          </cell>
        </row>
        <row r="58">
          <cell r="E58" t="str">
            <v>mieszkalne</v>
          </cell>
          <cell r="R58">
            <v>4.5</v>
          </cell>
          <cell r="AD58">
            <v>4.5</v>
          </cell>
        </row>
        <row r="59">
          <cell r="E59" t="str">
            <v>mieszkalne</v>
          </cell>
          <cell r="Q59">
            <v>6</v>
          </cell>
          <cell r="AC59">
            <v>6</v>
          </cell>
        </row>
        <row r="60">
          <cell r="E60" t="str">
            <v>mieszkalne</v>
          </cell>
          <cell r="R60">
            <v>4.5</v>
          </cell>
          <cell r="S60">
            <v>0.2</v>
          </cell>
          <cell r="W60">
            <v>144</v>
          </cell>
          <cell r="AD60">
            <v>4.5</v>
          </cell>
          <cell r="AE60">
            <v>0.2</v>
          </cell>
          <cell r="AI60">
            <v>144</v>
          </cell>
        </row>
        <row r="61">
          <cell r="E61" t="str">
            <v>mieszkalne</v>
          </cell>
          <cell r="R61">
            <v>6</v>
          </cell>
          <cell r="AD61">
            <v>6</v>
          </cell>
        </row>
        <row r="62">
          <cell r="E62" t="str">
            <v>mieszkalne</v>
          </cell>
          <cell r="Q62">
            <v>9</v>
          </cell>
          <cell r="S62">
            <v>3</v>
          </cell>
          <cell r="AC62">
            <v>8</v>
          </cell>
          <cell r="AE62">
            <v>5</v>
          </cell>
        </row>
        <row r="63">
          <cell r="E63" t="str">
            <v>mieszkalne</v>
          </cell>
          <cell r="Q63">
            <v>6</v>
          </cell>
          <cell r="S63">
            <v>1</v>
          </cell>
          <cell r="AC63">
            <v>6</v>
          </cell>
          <cell r="AE63">
            <v>1</v>
          </cell>
        </row>
        <row r="64">
          <cell r="E64" t="str">
            <v>mieszkalne</v>
          </cell>
          <cell r="AC64">
            <v>3</v>
          </cell>
          <cell r="AE64">
            <v>10</v>
          </cell>
        </row>
        <row r="65">
          <cell r="E65" t="str">
            <v>mieszkalne</v>
          </cell>
          <cell r="Q65">
            <v>6</v>
          </cell>
          <cell r="S65">
            <v>2</v>
          </cell>
          <cell r="AC65">
            <v>6</v>
          </cell>
          <cell r="AE65">
            <v>2</v>
          </cell>
        </row>
        <row r="66">
          <cell r="E66" t="str">
            <v>mieszkalne</v>
          </cell>
          <cell r="Q66">
            <v>6</v>
          </cell>
          <cell r="AC66">
            <v>6</v>
          </cell>
        </row>
        <row r="67">
          <cell r="E67" t="str">
            <v>mieszkalne</v>
          </cell>
          <cell r="Q67">
            <v>6</v>
          </cell>
          <cell r="S67">
            <v>3</v>
          </cell>
          <cell r="AC67">
            <v>6</v>
          </cell>
          <cell r="AE67">
            <v>5</v>
          </cell>
        </row>
        <row r="68">
          <cell r="E68" t="str">
            <v>mieszkalne</v>
          </cell>
          <cell r="AC68">
            <v>5.5</v>
          </cell>
        </row>
        <row r="69">
          <cell r="E69" t="str">
            <v>mieszkalne</v>
          </cell>
          <cell r="Q69">
            <v>8</v>
          </cell>
          <cell r="AC69">
            <v>7</v>
          </cell>
        </row>
        <row r="70">
          <cell r="E70" t="str">
            <v>mieszkalne</v>
          </cell>
          <cell r="Q70">
            <v>6</v>
          </cell>
          <cell r="AC70">
            <v>6</v>
          </cell>
        </row>
        <row r="71">
          <cell r="E71" t="str">
            <v>mieszkalne</v>
          </cell>
        </row>
        <row r="72">
          <cell r="E72" t="str">
            <v>mieszkalne</v>
          </cell>
          <cell r="Q72">
            <v>6</v>
          </cell>
          <cell r="AD72">
            <v>10</v>
          </cell>
        </row>
        <row r="73">
          <cell r="E73" t="str">
            <v>mieszkalne</v>
          </cell>
        </row>
        <row r="74">
          <cell r="E74" t="str">
            <v>mieszkalne</v>
          </cell>
          <cell r="Q74">
            <v>5</v>
          </cell>
          <cell r="AC74">
            <v>5</v>
          </cell>
        </row>
        <row r="75">
          <cell r="E75" t="str">
            <v>mieszkalne</v>
          </cell>
          <cell r="Q75">
            <v>10</v>
          </cell>
          <cell r="AC75">
            <v>10</v>
          </cell>
        </row>
        <row r="76">
          <cell r="E76" t="str">
            <v>mieszkalne</v>
          </cell>
        </row>
        <row r="77">
          <cell r="E77" t="str">
            <v>mieszkalne</v>
          </cell>
        </row>
        <row r="78">
          <cell r="E78" t="str">
            <v>mieszkalne</v>
          </cell>
          <cell r="Q78">
            <v>8</v>
          </cell>
          <cell r="AC78">
            <v>6</v>
          </cell>
        </row>
        <row r="79">
          <cell r="E79" t="str">
            <v>mieszkalne</v>
          </cell>
          <cell r="Q79">
            <v>6.5</v>
          </cell>
          <cell r="S79">
            <v>4.5</v>
          </cell>
          <cell r="AC79">
            <v>6</v>
          </cell>
          <cell r="AE79">
            <v>5</v>
          </cell>
        </row>
        <row r="80">
          <cell r="E80" t="str">
            <v>usługowe</v>
          </cell>
          <cell r="Y80">
            <v>25</v>
          </cell>
          <cell r="AK80">
            <v>20</v>
          </cell>
          <cell r="BR80" t="str">
            <v>usługowe</v>
          </cell>
        </row>
        <row r="81">
          <cell r="E81" t="str">
            <v>mieszkalne</v>
          </cell>
          <cell r="S81">
            <v>13</v>
          </cell>
          <cell r="AG81">
            <v>4</v>
          </cell>
        </row>
        <row r="82">
          <cell r="E82" t="str">
            <v>mieszkalne</v>
          </cell>
          <cell r="AD82">
            <v>6</v>
          </cell>
          <cell r="AE82">
            <v>8</v>
          </cell>
        </row>
        <row r="83">
          <cell r="E83" t="str">
            <v>mieszkalne</v>
          </cell>
          <cell r="Q83">
            <v>6</v>
          </cell>
          <cell r="AC83">
            <v>4.5</v>
          </cell>
        </row>
        <row r="84">
          <cell r="E84" t="str">
            <v>mieszkalne</v>
          </cell>
          <cell r="X84">
            <v>132</v>
          </cell>
          <cell r="AJ84">
            <v>110</v>
          </cell>
        </row>
        <row r="85">
          <cell r="E85" t="str">
            <v>mieszkalne</v>
          </cell>
          <cell r="Q85">
            <v>10</v>
          </cell>
          <cell r="AC85">
            <v>10</v>
          </cell>
        </row>
        <row r="86">
          <cell r="E86" t="str">
            <v>mieszkalne</v>
          </cell>
          <cell r="R86">
            <v>5</v>
          </cell>
          <cell r="AD86">
            <v>5</v>
          </cell>
        </row>
        <row r="87">
          <cell r="E87" t="str">
            <v>mieszkalne</v>
          </cell>
          <cell r="Q87">
            <v>7</v>
          </cell>
          <cell r="S87">
            <v>1</v>
          </cell>
          <cell r="X87">
            <v>44</v>
          </cell>
          <cell r="AC87">
            <v>5</v>
          </cell>
          <cell r="AJ87">
            <v>33</v>
          </cell>
        </row>
        <row r="88">
          <cell r="E88" t="str">
            <v>mieszkalne</v>
          </cell>
          <cell r="Q88">
            <v>8</v>
          </cell>
          <cell r="AC88">
            <v>7.5</v>
          </cell>
        </row>
        <row r="89">
          <cell r="E89" t="str">
            <v>mieszkalne</v>
          </cell>
          <cell r="Q89">
            <v>9.14</v>
          </cell>
          <cell r="AC89">
            <v>8.1300000000000008</v>
          </cell>
        </row>
        <row r="90">
          <cell r="E90" t="str">
            <v>mieszkalne</v>
          </cell>
          <cell r="Q90">
            <v>10</v>
          </cell>
          <cell r="AC90">
            <v>10</v>
          </cell>
        </row>
        <row r="91">
          <cell r="E91" t="str">
            <v>mieszkalne</v>
          </cell>
          <cell r="AC91">
            <v>5</v>
          </cell>
          <cell r="AE91">
            <v>2</v>
          </cell>
        </row>
        <row r="92">
          <cell r="E92" t="str">
            <v>mieszkalne</v>
          </cell>
          <cell r="Q92">
            <v>7</v>
          </cell>
          <cell r="AC92">
            <v>3</v>
          </cell>
        </row>
        <row r="93">
          <cell r="E93" t="str">
            <v>mieszkalne</v>
          </cell>
          <cell r="AD93">
            <v>4</v>
          </cell>
        </row>
        <row r="94">
          <cell r="E94" t="str">
            <v>mieszkalne</v>
          </cell>
          <cell r="R94">
            <v>7.5</v>
          </cell>
          <cell r="AD94">
            <v>5</v>
          </cell>
        </row>
        <row r="95">
          <cell r="E95" t="str">
            <v>mieszkalne</v>
          </cell>
          <cell r="R95">
            <v>4.5</v>
          </cell>
          <cell r="S95">
            <v>1</v>
          </cell>
          <cell r="AD95">
            <v>4</v>
          </cell>
          <cell r="AE95">
            <v>1</v>
          </cell>
        </row>
        <row r="96">
          <cell r="E96" t="str">
            <v>mieszkalne</v>
          </cell>
          <cell r="R96">
            <v>6</v>
          </cell>
          <cell r="S96">
            <v>1</v>
          </cell>
          <cell r="AD96">
            <v>2</v>
          </cell>
          <cell r="AE96">
            <v>1</v>
          </cell>
        </row>
        <row r="97">
          <cell r="E97" t="str">
            <v>mieszkalne</v>
          </cell>
          <cell r="Q97">
            <v>6</v>
          </cell>
          <cell r="AC97">
            <v>6</v>
          </cell>
        </row>
        <row r="98">
          <cell r="E98" t="str">
            <v>mieszkalne</v>
          </cell>
          <cell r="Q98">
            <v>5</v>
          </cell>
          <cell r="AC98">
            <v>5</v>
          </cell>
        </row>
        <row r="99">
          <cell r="E99" t="str">
            <v>mieszkalne</v>
          </cell>
          <cell r="AC99">
            <v>8</v>
          </cell>
        </row>
        <row r="100">
          <cell r="E100" t="str">
            <v>mieszkalne</v>
          </cell>
          <cell r="Q100">
            <v>4.5</v>
          </cell>
          <cell r="AC100">
            <v>4.5</v>
          </cell>
        </row>
        <row r="101">
          <cell r="E101" t="str">
            <v>mieszkalne</v>
          </cell>
          <cell r="Q101">
            <v>5</v>
          </cell>
          <cell r="S101">
            <v>7</v>
          </cell>
          <cell r="AC101">
            <v>5</v>
          </cell>
          <cell r="AE101">
            <v>7</v>
          </cell>
        </row>
        <row r="102">
          <cell r="E102" t="str">
            <v>mieszkalne</v>
          </cell>
          <cell r="Q102">
            <v>5</v>
          </cell>
          <cell r="S102">
            <v>4</v>
          </cell>
          <cell r="AC102">
            <v>5.5</v>
          </cell>
          <cell r="AE102">
            <v>2</v>
          </cell>
        </row>
        <row r="103">
          <cell r="E103" t="str">
            <v>mieszkalne</v>
          </cell>
          <cell r="Q103">
            <v>6</v>
          </cell>
          <cell r="AC103">
            <v>4</v>
          </cell>
          <cell r="AE103">
            <v>2</v>
          </cell>
        </row>
        <row r="104">
          <cell r="E104" t="str">
            <v>mieszkalne</v>
          </cell>
          <cell r="Q104">
            <v>4</v>
          </cell>
          <cell r="S104">
            <v>4</v>
          </cell>
          <cell r="AC104">
            <v>4</v>
          </cell>
          <cell r="AE104">
            <v>4</v>
          </cell>
        </row>
        <row r="105">
          <cell r="E105" t="str">
            <v>mieszkalne</v>
          </cell>
          <cell r="Q105">
            <v>6</v>
          </cell>
          <cell r="S105">
            <v>1</v>
          </cell>
          <cell r="AC105">
            <v>6</v>
          </cell>
          <cell r="AE105">
            <v>1</v>
          </cell>
        </row>
        <row r="106">
          <cell r="E106" t="str">
            <v>mieszkalne</v>
          </cell>
          <cell r="AC106">
            <v>3</v>
          </cell>
          <cell r="AE106">
            <v>4</v>
          </cell>
        </row>
        <row r="107">
          <cell r="E107" t="str">
            <v>mieszkalne</v>
          </cell>
          <cell r="AD107">
            <v>5</v>
          </cell>
        </row>
        <row r="108">
          <cell r="E108" t="str">
            <v>mieszkalne</v>
          </cell>
          <cell r="Q108">
            <v>38.129999999999995</v>
          </cell>
          <cell r="S108">
            <v>2.5</v>
          </cell>
          <cell r="AC108">
            <v>35.5</v>
          </cell>
          <cell r="AE108">
            <v>3</v>
          </cell>
        </row>
        <row r="109">
          <cell r="E109" t="str">
            <v>mieszkalne</v>
          </cell>
          <cell r="Q109">
            <v>26.5</v>
          </cell>
          <cell r="AC109">
            <v>21.25</v>
          </cell>
          <cell r="AE109">
            <v>3.5</v>
          </cell>
        </row>
        <row r="110">
          <cell r="E110" t="str">
            <v>mieszkalne</v>
          </cell>
          <cell r="Q110">
            <v>15.75</v>
          </cell>
          <cell r="AC110">
            <v>15.75</v>
          </cell>
        </row>
        <row r="111">
          <cell r="E111" t="str">
            <v>usługowe</v>
          </cell>
          <cell r="Q111">
            <v>16.940000000000001</v>
          </cell>
          <cell r="S111">
            <v>3.3</v>
          </cell>
          <cell r="AC111">
            <v>10</v>
          </cell>
          <cell r="AE111">
            <v>2.5</v>
          </cell>
          <cell r="BR111" t="str">
            <v>usługowe</v>
          </cell>
        </row>
        <row r="112">
          <cell r="E112" t="str">
            <v>usługowe</v>
          </cell>
          <cell r="Q112">
            <v>20.18</v>
          </cell>
          <cell r="AC112">
            <v>23</v>
          </cell>
          <cell r="BR112" t="str">
            <v>usługowe</v>
          </cell>
        </row>
      </sheetData>
      <sheetData sheetId="2">
        <row r="12">
          <cell r="E12">
            <v>8.1542307692307681</v>
          </cell>
          <cell r="F12">
            <v>5.6818181818181817</v>
          </cell>
          <cell r="H12">
            <v>4.5</v>
          </cell>
          <cell r="I12">
            <v>1.24</v>
          </cell>
          <cell r="M12">
            <v>1.71</v>
          </cell>
        </row>
        <row r="13">
          <cell r="E13">
            <v>7.475090909090909</v>
          </cell>
          <cell r="F13">
            <v>5.0649999999999995</v>
          </cell>
          <cell r="G13">
            <v>3.8208333333333333</v>
          </cell>
          <cell r="I13">
            <v>2.5</v>
          </cell>
          <cell r="M13">
            <v>1.7230000000000001</v>
          </cell>
        </row>
      </sheetData>
      <sheetData sheetId="3">
        <row r="3">
          <cell r="O3" t="str">
            <v>energia elektryczna</v>
          </cell>
          <cell r="X3" t="str">
            <v>energia elektryczna</v>
          </cell>
        </row>
        <row r="4">
          <cell r="H4" t="str">
            <v>Węgiel [tona/rok]</v>
          </cell>
          <cell r="J4" t="str">
            <v>Drewno [m3/rok]</v>
          </cell>
          <cell r="L4" t="str">
            <v>Gaz ziemny [m3/rok]</v>
          </cell>
          <cell r="N4" t="str">
            <v>Olej opałowy [m3/rok]</v>
          </cell>
          <cell r="O4" t="str">
            <v>roczne zużycie [kWh/rok]</v>
          </cell>
          <cell r="Q4" t="str">
            <v>Węgiel [tona/rok]</v>
          </cell>
          <cell r="S4" t="str">
            <v>Drewno [m3/rok]</v>
          </cell>
          <cell r="U4" t="str">
            <v>Gaz ziemny [m3/rok]</v>
          </cell>
          <cell r="W4" t="str">
            <v>Olej opałowy [m3/rok]</v>
          </cell>
          <cell r="X4" t="str">
            <v>roczne zużycie [kWh/rok]</v>
          </cell>
          <cell r="CE4" t="str">
            <v>flaga1</v>
          </cell>
          <cell r="CF4" t="str">
            <v>flaga1</v>
          </cell>
        </row>
        <row r="5">
          <cell r="L5">
            <v>78570</v>
          </cell>
          <cell r="O5">
            <v>37746</v>
          </cell>
          <cell r="U5">
            <v>86427</v>
          </cell>
          <cell r="X5">
            <v>41898.06</v>
          </cell>
          <cell r="CE5" t="str">
            <v>komunalne publiczne</v>
          </cell>
        </row>
        <row r="6">
          <cell r="H6">
            <v>36.340000000000003</v>
          </cell>
          <cell r="O6">
            <v>17142</v>
          </cell>
          <cell r="Q6">
            <v>27.56</v>
          </cell>
          <cell r="X6">
            <v>17767</v>
          </cell>
          <cell r="CE6" t="str">
            <v>komunalne publiczne</v>
          </cell>
        </row>
        <row r="7">
          <cell r="H7">
            <v>58.8</v>
          </cell>
          <cell r="O7">
            <v>18716</v>
          </cell>
          <cell r="Q7">
            <v>34.200000000000003</v>
          </cell>
          <cell r="X7">
            <v>22015</v>
          </cell>
          <cell r="CE7" t="str">
            <v>komunalne publiczne</v>
          </cell>
        </row>
        <row r="8">
          <cell r="N8">
            <v>19.100000000000001</v>
          </cell>
          <cell r="O8">
            <v>19710</v>
          </cell>
          <cell r="W8">
            <v>19.579999999999998</v>
          </cell>
          <cell r="X8">
            <v>22828</v>
          </cell>
          <cell r="CE8" t="str">
            <v>komunalne publiczne</v>
          </cell>
        </row>
        <row r="9">
          <cell r="H9">
            <v>58.44</v>
          </cell>
          <cell r="O9">
            <v>25789</v>
          </cell>
          <cell r="Q9">
            <v>41</v>
          </cell>
          <cell r="X9">
            <v>32329</v>
          </cell>
          <cell r="CE9" t="str">
            <v>komunalne publiczne</v>
          </cell>
        </row>
        <row r="10">
          <cell r="H10">
            <v>34.31</v>
          </cell>
          <cell r="O10">
            <v>4692</v>
          </cell>
          <cell r="Q10">
            <v>28</v>
          </cell>
          <cell r="X10">
            <v>5208.12</v>
          </cell>
          <cell r="CE10" t="str">
            <v>komunalne publiczne</v>
          </cell>
        </row>
        <row r="11">
          <cell r="H11">
            <v>30.71</v>
          </cell>
          <cell r="J11">
            <v>2</v>
          </cell>
          <cell r="O11">
            <v>3750</v>
          </cell>
          <cell r="Q11">
            <v>24</v>
          </cell>
          <cell r="S11">
            <v>3</v>
          </cell>
          <cell r="X11">
            <v>4162.5</v>
          </cell>
          <cell r="CE11" t="str">
            <v>komunalne publiczne</v>
          </cell>
        </row>
        <row r="12">
          <cell r="H12">
            <v>25.52</v>
          </cell>
          <cell r="J12">
            <v>1.5</v>
          </cell>
          <cell r="O12">
            <v>550</v>
          </cell>
          <cell r="Q12">
            <v>17.5</v>
          </cell>
          <cell r="S12">
            <v>3</v>
          </cell>
          <cell r="X12">
            <v>610.5</v>
          </cell>
          <cell r="CE12" t="str">
            <v>komunalne publiczne</v>
          </cell>
        </row>
        <row r="13">
          <cell r="H13">
            <v>6.38</v>
          </cell>
          <cell r="O13">
            <v>2929</v>
          </cell>
          <cell r="Q13">
            <v>6.38</v>
          </cell>
          <cell r="X13">
            <v>3251.19</v>
          </cell>
          <cell r="CE13" t="str">
            <v>komunalne publiczne</v>
          </cell>
        </row>
        <row r="14">
          <cell r="H14">
            <v>8.5</v>
          </cell>
          <cell r="O14">
            <v>1050</v>
          </cell>
          <cell r="Q14">
            <v>8.5</v>
          </cell>
          <cell r="X14">
            <v>1165.5</v>
          </cell>
          <cell r="CE14" t="str">
            <v>komunalne publiczne</v>
          </cell>
        </row>
        <row r="15">
          <cell r="H15">
            <v>6.5</v>
          </cell>
          <cell r="O15">
            <v>869</v>
          </cell>
          <cell r="Q15">
            <v>5.1999999999999993</v>
          </cell>
          <cell r="X15">
            <v>964.59</v>
          </cell>
          <cell r="CE15" t="str">
            <v>komunalne publiczne</v>
          </cell>
        </row>
        <row r="16">
          <cell r="H16">
            <v>7</v>
          </cell>
          <cell r="O16">
            <v>3175</v>
          </cell>
          <cell r="Q16">
            <v>7</v>
          </cell>
          <cell r="X16">
            <v>3524.25</v>
          </cell>
          <cell r="CE16" t="str">
            <v>komunalne publiczne</v>
          </cell>
        </row>
        <row r="17">
          <cell r="H17">
            <v>28.4</v>
          </cell>
          <cell r="O17">
            <v>2993</v>
          </cell>
          <cell r="Q17">
            <v>25</v>
          </cell>
          <cell r="X17">
            <v>3322.23</v>
          </cell>
          <cell r="CE17" t="str">
            <v>komunalne publiczne</v>
          </cell>
        </row>
        <row r="18">
          <cell r="H18">
            <v>34.74</v>
          </cell>
          <cell r="O18">
            <v>15343</v>
          </cell>
          <cell r="Q18">
            <v>29</v>
          </cell>
          <cell r="X18">
            <v>17030.73</v>
          </cell>
          <cell r="CE18" t="str">
            <v>komunalne publiczne</v>
          </cell>
        </row>
        <row r="19">
          <cell r="H19">
            <v>40.08</v>
          </cell>
          <cell r="O19">
            <v>45811</v>
          </cell>
          <cell r="Q19">
            <v>33.730000000000004</v>
          </cell>
          <cell r="X19">
            <v>47145</v>
          </cell>
          <cell r="CE19" t="str">
            <v>komunalne publiczne</v>
          </cell>
        </row>
        <row r="20">
          <cell r="H20">
            <v>3.09</v>
          </cell>
          <cell r="O20">
            <v>1500</v>
          </cell>
          <cell r="Q20">
            <v>3.3</v>
          </cell>
          <cell r="X20">
            <v>1550</v>
          </cell>
          <cell r="CF20" t="str">
            <v>komunalne publiczne</v>
          </cell>
        </row>
        <row r="21">
          <cell r="H21">
            <v>3.1799999999999997</v>
          </cell>
          <cell r="O21">
            <v>1500</v>
          </cell>
          <cell r="Q21">
            <v>2</v>
          </cell>
          <cell r="X21">
            <v>1550</v>
          </cell>
          <cell r="CF21" t="str">
            <v>komunalne publiczne</v>
          </cell>
        </row>
        <row r="22">
          <cell r="H22">
            <v>3.41</v>
          </cell>
          <cell r="O22">
            <v>1500</v>
          </cell>
          <cell r="Q22">
            <v>2.1</v>
          </cell>
          <cell r="X22">
            <v>1550</v>
          </cell>
          <cell r="CF22" t="str">
            <v>komunalne publiczne</v>
          </cell>
        </row>
        <row r="23">
          <cell r="H23">
            <v>10.78</v>
          </cell>
          <cell r="J23">
            <v>0.5</v>
          </cell>
          <cell r="O23">
            <v>1714.6</v>
          </cell>
          <cell r="Q23">
            <v>8.9160000000000004</v>
          </cell>
          <cell r="S23">
            <v>0.75</v>
          </cell>
          <cell r="X23">
            <v>1903.2060000000001</v>
          </cell>
          <cell r="CF23" t="str">
            <v>komunalne publiczne</v>
          </cell>
        </row>
        <row r="24">
          <cell r="H24">
            <v>10.78</v>
          </cell>
          <cell r="J24">
            <v>0.5</v>
          </cell>
          <cell r="O24">
            <v>1714.6</v>
          </cell>
          <cell r="Q24">
            <v>10.78</v>
          </cell>
          <cell r="S24">
            <v>0.5</v>
          </cell>
          <cell r="X24">
            <v>1714.6</v>
          </cell>
          <cell r="CF24" t="str">
            <v>komunalne publiczne</v>
          </cell>
        </row>
        <row r="25">
          <cell r="H25">
            <v>10.78</v>
          </cell>
          <cell r="J25">
            <v>0.5</v>
          </cell>
          <cell r="O25">
            <v>1714.6</v>
          </cell>
          <cell r="Q25">
            <v>10.78</v>
          </cell>
          <cell r="S25">
            <v>0.5</v>
          </cell>
          <cell r="X25">
            <v>1714.6</v>
          </cell>
          <cell r="CF25" t="str">
            <v>komunalne publiczne</v>
          </cell>
        </row>
        <row r="26">
          <cell r="H26">
            <v>26.793333333333333</v>
          </cell>
          <cell r="J26">
            <v>0.83333333333333337</v>
          </cell>
          <cell r="O26">
            <v>2300</v>
          </cell>
          <cell r="Q26">
            <v>18.916666666666668</v>
          </cell>
          <cell r="S26">
            <v>1</v>
          </cell>
          <cell r="X26">
            <v>2300</v>
          </cell>
          <cell r="CF26" t="str">
            <v>komunalne publiczne</v>
          </cell>
        </row>
        <row r="27">
          <cell r="H27">
            <v>31.71</v>
          </cell>
          <cell r="O27">
            <v>18220.71</v>
          </cell>
          <cell r="Q27">
            <v>20.58666666666667</v>
          </cell>
          <cell r="X27">
            <v>20870</v>
          </cell>
          <cell r="CF27" t="str">
            <v>komunalne publiczne</v>
          </cell>
        </row>
        <row r="28">
          <cell r="H28">
            <v>31.57</v>
          </cell>
          <cell r="O28">
            <v>9168</v>
          </cell>
          <cell r="Q28">
            <v>27</v>
          </cell>
          <cell r="X28">
            <v>10176.48</v>
          </cell>
          <cell r="CF28" t="str">
            <v>komunalne publiczne</v>
          </cell>
        </row>
        <row r="29">
          <cell r="H29">
            <v>22.58</v>
          </cell>
          <cell r="O29">
            <v>9500</v>
          </cell>
          <cell r="Q29">
            <v>21.32</v>
          </cell>
          <cell r="X29">
            <v>10100</v>
          </cell>
          <cell r="CF29" t="str">
            <v>komunalne publiczne</v>
          </cell>
        </row>
        <row r="30">
          <cell r="H30">
            <v>40.08</v>
          </cell>
          <cell r="O30">
            <v>45811</v>
          </cell>
          <cell r="Q30">
            <v>33.730000000000004</v>
          </cell>
          <cell r="X30">
            <v>47145</v>
          </cell>
          <cell r="CF30" t="str">
            <v>komunalne publiczne</v>
          </cell>
        </row>
        <row r="31">
          <cell r="H31">
            <v>31.713333333333335</v>
          </cell>
          <cell r="N31">
            <v>6.3666666666666671</v>
          </cell>
          <cell r="O31">
            <v>18522.666666666668</v>
          </cell>
          <cell r="Q31">
            <v>20.58666666666667</v>
          </cell>
          <cell r="W31">
            <v>6.5266666666666664</v>
          </cell>
          <cell r="X31">
            <v>20870</v>
          </cell>
          <cell r="CF31" t="str">
            <v>komunalne publiczne</v>
          </cell>
        </row>
        <row r="32">
          <cell r="H32">
            <v>11.88</v>
          </cell>
          <cell r="J32">
            <v>0.5</v>
          </cell>
          <cell r="O32">
            <v>1714.6</v>
          </cell>
          <cell r="Q32">
            <v>11.879999999999999</v>
          </cell>
          <cell r="S32">
            <v>0.5</v>
          </cell>
          <cell r="X32">
            <v>1714.6</v>
          </cell>
          <cell r="CF32" t="str">
            <v>komunalne publiczne</v>
          </cell>
        </row>
        <row r="33">
          <cell r="H33">
            <v>31.228571428571428</v>
          </cell>
          <cell r="J33">
            <v>0.2857142857142857</v>
          </cell>
          <cell r="O33">
            <v>18220.714285714286</v>
          </cell>
          <cell r="Q33">
            <v>22.108571428571427</v>
          </cell>
          <cell r="S33">
            <v>0.42857142857142855</v>
          </cell>
          <cell r="X33">
            <v>20886.811428571429</v>
          </cell>
          <cell r="CF33" t="str">
            <v>komunalne publiczne</v>
          </cell>
        </row>
        <row r="34">
          <cell r="H34">
            <v>11.879999999999999</v>
          </cell>
          <cell r="J34">
            <v>0.5</v>
          </cell>
          <cell r="O34">
            <v>1714.6</v>
          </cell>
          <cell r="Q34">
            <v>11.879999999999999</v>
          </cell>
          <cell r="S34">
            <v>0.5</v>
          </cell>
          <cell r="X34">
            <v>1714.6</v>
          </cell>
          <cell r="CF34" t="str">
            <v>komunalne publiczne</v>
          </cell>
        </row>
      </sheetData>
      <sheetData sheetId="4">
        <row r="6">
          <cell r="B6" t="str">
            <v>komunalne publiczne</v>
          </cell>
        </row>
      </sheetData>
      <sheetData sheetId="5">
        <row r="12">
          <cell r="B12" t="str">
            <v>usługowe</v>
          </cell>
        </row>
        <row r="16">
          <cell r="B16" t="str">
            <v>usługowe</v>
          </cell>
        </row>
      </sheetData>
      <sheetData sheetId="6">
        <row r="30">
          <cell r="E30">
            <v>1651.6789090476191</v>
          </cell>
          <cell r="G30">
            <v>2437.2894325714278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18"/>
  <sheetViews>
    <sheetView tabSelected="1" topLeftCell="A4" workbookViewId="0">
      <selection activeCell="Z24" sqref="Z24"/>
    </sheetView>
  </sheetViews>
  <sheetFormatPr defaultRowHeight="15"/>
  <cols>
    <col min="1" max="1" width="10.140625" customWidth="1"/>
    <col min="2" max="2" width="10.28515625" customWidth="1"/>
    <col min="3" max="3" width="4" style="1" hidden="1" customWidth="1"/>
    <col min="4" max="4" width="6.42578125" style="1" customWidth="1"/>
    <col min="5" max="5" width="8" customWidth="1"/>
    <col min="6" max="6" width="18.140625" hidden="1" customWidth="1"/>
    <col min="7" max="10" width="4.5703125" customWidth="1"/>
    <col min="11" max="14" width="5.42578125" customWidth="1"/>
    <col min="15" max="15" width="6.7109375" customWidth="1"/>
    <col min="16" max="16" width="3.28515625" customWidth="1"/>
    <col min="17" max="25" width="6" customWidth="1"/>
    <col min="26" max="26" width="6.85546875" customWidth="1"/>
    <col min="27" max="27" width="7" customWidth="1"/>
    <col min="28" max="28" width="3.42578125" customWidth="1"/>
    <col min="29" max="37" width="5.85546875" customWidth="1"/>
    <col min="38" max="38" width="6.7109375" customWidth="1"/>
    <col min="39" max="51" width="3.85546875" customWidth="1"/>
    <col min="52" max="64" width="5.42578125" customWidth="1"/>
    <col min="65" max="70" width="4.28515625" customWidth="1"/>
  </cols>
  <sheetData>
    <row r="1" spans="1:70" ht="15.75" thickBot="1"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BA1" s="3"/>
    </row>
    <row r="2" spans="1:70" s="4" customFormat="1" ht="15.75" thickBot="1">
      <c r="C2" s="5"/>
      <c r="D2" s="5"/>
      <c r="O2" s="6">
        <v>2009</v>
      </c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9">
        <v>2014</v>
      </c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1"/>
      <c r="AM2" s="12" t="s">
        <v>0</v>
      </c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4"/>
      <c r="AZ2" s="15" t="s">
        <v>1</v>
      </c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7" t="s">
        <v>2</v>
      </c>
      <c r="BN2" s="18"/>
      <c r="BO2" s="18"/>
      <c r="BP2" s="19"/>
    </row>
    <row r="3" spans="1:70" s="4" customFormat="1" ht="24" customHeight="1" thickBot="1">
      <c r="C3" s="5"/>
      <c r="D3" s="5"/>
      <c r="O3" s="20" t="s">
        <v>3</v>
      </c>
      <c r="P3" s="21"/>
      <c r="Q3" s="21"/>
      <c r="R3" s="21"/>
      <c r="S3" s="21"/>
      <c r="T3" s="21"/>
      <c r="U3" s="21"/>
      <c r="V3" s="21"/>
      <c r="W3" s="21"/>
      <c r="X3" s="21"/>
      <c r="Y3" s="22"/>
      <c r="Z3" s="23" t="s">
        <v>4</v>
      </c>
      <c r="AA3" s="24" t="s">
        <v>5</v>
      </c>
      <c r="AB3" s="25"/>
      <c r="AC3" s="25"/>
      <c r="AD3" s="25"/>
      <c r="AE3" s="25"/>
      <c r="AF3" s="25"/>
      <c r="AG3" s="25"/>
      <c r="AH3" s="25"/>
      <c r="AI3" s="25"/>
      <c r="AJ3" s="25"/>
      <c r="AK3" s="26"/>
      <c r="AL3" s="27" t="s">
        <v>4</v>
      </c>
      <c r="AM3" s="28" t="s">
        <v>6</v>
      </c>
      <c r="AN3" s="29"/>
      <c r="AO3" s="30"/>
      <c r="AP3" s="31" t="s">
        <v>7</v>
      </c>
      <c r="AQ3" s="29"/>
      <c r="AR3" s="30"/>
      <c r="AS3" s="31" t="s">
        <v>8</v>
      </c>
      <c r="AT3" s="29"/>
      <c r="AU3" s="29"/>
      <c r="AV3" s="31" t="s">
        <v>9</v>
      </c>
      <c r="AW3" s="29"/>
      <c r="AX3" s="29"/>
      <c r="AY3" s="32"/>
      <c r="AZ3" s="33" t="s">
        <v>6</v>
      </c>
      <c r="BA3" s="34"/>
      <c r="BB3" s="35"/>
      <c r="BC3" s="36" t="s">
        <v>7</v>
      </c>
      <c r="BD3" s="34"/>
      <c r="BE3" s="35"/>
      <c r="BF3" s="36" t="s">
        <v>8</v>
      </c>
      <c r="BG3" s="34"/>
      <c r="BH3" s="34"/>
      <c r="BI3" s="36" t="s">
        <v>9</v>
      </c>
      <c r="BJ3" s="34"/>
      <c r="BK3" s="34"/>
      <c r="BL3" s="34"/>
      <c r="BM3" s="37"/>
      <c r="BN3" s="38"/>
      <c r="BO3" s="38"/>
      <c r="BP3" s="39"/>
    </row>
    <row r="4" spans="1:70" s="4" customFormat="1" ht="60.75" customHeight="1" thickBot="1">
      <c r="A4" s="40" t="s">
        <v>10</v>
      </c>
      <c r="B4" s="41" t="s">
        <v>11</v>
      </c>
      <c r="C4" s="42" t="s">
        <v>12</v>
      </c>
      <c r="D4" s="42" t="s">
        <v>13</v>
      </c>
      <c r="E4" s="41" t="s">
        <v>14</v>
      </c>
      <c r="F4" s="43" t="s">
        <v>15</v>
      </c>
      <c r="G4" s="44" t="s">
        <v>16</v>
      </c>
      <c r="H4" s="45" t="s">
        <v>17</v>
      </c>
      <c r="I4" s="45" t="s">
        <v>18</v>
      </c>
      <c r="J4" s="46" t="s">
        <v>19</v>
      </c>
      <c r="K4" s="47" t="s">
        <v>20</v>
      </c>
      <c r="L4" s="48" t="s">
        <v>21</v>
      </c>
      <c r="M4" s="48" t="s">
        <v>22</v>
      </c>
      <c r="N4" s="48" t="s">
        <v>23</v>
      </c>
      <c r="O4" s="49" t="s">
        <v>24</v>
      </c>
      <c r="P4" s="50" t="s">
        <v>25</v>
      </c>
      <c r="Q4" s="51" t="s">
        <v>26</v>
      </c>
      <c r="R4" s="51" t="s">
        <v>27</v>
      </c>
      <c r="S4" s="51" t="s">
        <v>28</v>
      </c>
      <c r="T4" s="52" t="s">
        <v>29</v>
      </c>
      <c r="U4" s="51" t="s">
        <v>30</v>
      </c>
      <c r="V4" s="51" t="s">
        <v>31</v>
      </c>
      <c r="W4" s="51" t="s">
        <v>32</v>
      </c>
      <c r="X4" s="52" t="s">
        <v>33</v>
      </c>
      <c r="Y4" s="53" t="s">
        <v>34</v>
      </c>
      <c r="Z4" s="54" t="s">
        <v>35</v>
      </c>
      <c r="AA4" s="49" t="s">
        <v>24</v>
      </c>
      <c r="AB4" s="50" t="s">
        <v>25</v>
      </c>
      <c r="AC4" s="51" t="s">
        <v>26</v>
      </c>
      <c r="AD4" s="51" t="s">
        <v>27</v>
      </c>
      <c r="AE4" s="51" t="s">
        <v>28</v>
      </c>
      <c r="AF4" s="52" t="s">
        <v>29</v>
      </c>
      <c r="AG4" s="51" t="s">
        <v>30</v>
      </c>
      <c r="AH4" s="51" t="s">
        <v>31</v>
      </c>
      <c r="AI4" s="51" t="s">
        <v>32</v>
      </c>
      <c r="AJ4" s="52" t="s">
        <v>33</v>
      </c>
      <c r="AK4" s="53" t="s">
        <v>34</v>
      </c>
      <c r="AL4" s="54" t="s">
        <v>35</v>
      </c>
      <c r="AM4" s="55" t="s">
        <v>36</v>
      </c>
      <c r="AN4" s="56" t="s">
        <v>37</v>
      </c>
      <c r="AO4" s="57" t="s">
        <v>38</v>
      </c>
      <c r="AP4" s="58" t="s">
        <v>36</v>
      </c>
      <c r="AQ4" s="56" t="s">
        <v>37</v>
      </c>
      <c r="AR4" s="57" t="s">
        <v>38</v>
      </c>
      <c r="AS4" s="58" t="s">
        <v>36</v>
      </c>
      <c r="AT4" s="56" t="s">
        <v>37</v>
      </c>
      <c r="AU4" s="57" t="s">
        <v>38</v>
      </c>
      <c r="AV4" s="59" t="s">
        <v>39</v>
      </c>
      <c r="AW4" s="60" t="s">
        <v>36</v>
      </c>
      <c r="AX4" s="56" t="s">
        <v>37</v>
      </c>
      <c r="AY4" s="61" t="s">
        <v>38</v>
      </c>
      <c r="AZ4" s="62" t="s">
        <v>36</v>
      </c>
      <c r="BA4" s="63" t="s">
        <v>37</v>
      </c>
      <c r="BB4" s="64" t="s">
        <v>38</v>
      </c>
      <c r="BC4" s="65" t="s">
        <v>36</v>
      </c>
      <c r="BD4" s="63" t="s">
        <v>37</v>
      </c>
      <c r="BE4" s="64" t="s">
        <v>38</v>
      </c>
      <c r="BF4" s="65" t="s">
        <v>36</v>
      </c>
      <c r="BG4" s="63" t="s">
        <v>37</v>
      </c>
      <c r="BH4" s="64" t="s">
        <v>38</v>
      </c>
      <c r="BI4" s="66" t="s">
        <v>39</v>
      </c>
      <c r="BJ4" s="67" t="s">
        <v>36</v>
      </c>
      <c r="BK4" s="63" t="s">
        <v>37</v>
      </c>
      <c r="BL4" s="68" t="s">
        <v>38</v>
      </c>
      <c r="BM4" s="55" t="s">
        <v>6</v>
      </c>
      <c r="BN4" s="56" t="s">
        <v>7</v>
      </c>
      <c r="BO4" s="56" t="s">
        <v>8</v>
      </c>
      <c r="BP4" s="61" t="s">
        <v>9</v>
      </c>
      <c r="BQ4" s="69" t="s">
        <v>40</v>
      </c>
      <c r="BR4" s="69" t="s">
        <v>41</v>
      </c>
    </row>
    <row r="5" spans="1:70">
      <c r="A5" s="70" t="s">
        <v>42</v>
      </c>
      <c r="B5" s="70" t="s">
        <v>43</v>
      </c>
      <c r="C5" s="71">
        <v>4</v>
      </c>
      <c r="D5" s="71" t="s">
        <v>44</v>
      </c>
      <c r="E5" s="72" t="s">
        <v>45</v>
      </c>
      <c r="F5" s="72" t="s">
        <v>46</v>
      </c>
      <c r="G5" s="72"/>
      <c r="H5" s="72"/>
      <c r="I5" s="72"/>
      <c r="J5" s="73"/>
      <c r="K5" s="74">
        <v>146.43</v>
      </c>
      <c r="L5" s="75">
        <v>146.43</v>
      </c>
      <c r="M5" s="76">
        <v>8</v>
      </c>
      <c r="N5" s="77"/>
      <c r="O5" s="78" t="s">
        <v>47</v>
      </c>
      <c r="P5" s="79"/>
      <c r="Q5" s="80"/>
      <c r="R5" s="80"/>
      <c r="S5" s="80"/>
      <c r="T5" s="80"/>
      <c r="U5" s="80"/>
      <c r="V5" s="80">
        <v>1682</v>
      </c>
      <c r="W5" s="80"/>
      <c r="X5" s="81"/>
      <c r="Y5" s="81"/>
      <c r="Z5" s="82">
        <v>10037</v>
      </c>
      <c r="AA5" s="78" t="s">
        <v>47</v>
      </c>
      <c r="AB5" s="79"/>
      <c r="AC5" s="80"/>
      <c r="AD5" s="80"/>
      <c r="AE5" s="80"/>
      <c r="AF5" s="80"/>
      <c r="AG5" s="80"/>
      <c r="AH5" s="80">
        <v>1082</v>
      </c>
      <c r="AI5" s="80"/>
      <c r="AJ5" s="81"/>
      <c r="AK5" s="81"/>
      <c r="AL5" s="82">
        <v>9551</v>
      </c>
      <c r="AM5" s="75"/>
      <c r="AN5" s="75"/>
      <c r="AO5" s="77"/>
      <c r="AP5" s="74"/>
      <c r="AQ5" s="75"/>
      <c r="AR5" s="77"/>
      <c r="AS5" s="75"/>
      <c r="AT5" s="75"/>
      <c r="AU5" s="77"/>
      <c r="AV5" s="77"/>
      <c r="AW5" s="75"/>
      <c r="AX5" s="75"/>
      <c r="AY5" s="83"/>
      <c r="AZ5" s="75"/>
      <c r="BA5" s="75"/>
      <c r="BB5" s="77"/>
      <c r="BC5" s="75"/>
      <c r="BD5" s="75"/>
      <c r="BE5" s="77"/>
      <c r="BF5" s="75"/>
      <c r="BG5" s="75"/>
      <c r="BH5" s="77"/>
      <c r="BI5" s="77"/>
      <c r="BJ5" s="75"/>
      <c r="BK5" s="75"/>
      <c r="BL5" s="83"/>
      <c r="BM5" s="84"/>
      <c r="BN5" s="84"/>
      <c r="BO5" s="84"/>
      <c r="BP5" s="85"/>
      <c r="BQ5" s="86"/>
      <c r="BR5" s="86" t="str">
        <f>E5</f>
        <v>usługowe</v>
      </c>
    </row>
    <row r="6" spans="1:70">
      <c r="A6" s="70" t="s">
        <v>48</v>
      </c>
      <c r="B6" s="70" t="s">
        <v>49</v>
      </c>
      <c r="C6" s="71">
        <v>60</v>
      </c>
      <c r="D6" s="71"/>
      <c r="E6" s="72" t="s">
        <v>45</v>
      </c>
      <c r="F6" s="72" t="s">
        <v>50</v>
      </c>
      <c r="G6" s="72"/>
      <c r="H6" s="72"/>
      <c r="I6" s="72"/>
      <c r="J6" s="73"/>
      <c r="K6" s="74">
        <v>100</v>
      </c>
      <c r="L6" s="75">
        <v>100</v>
      </c>
      <c r="M6" s="76">
        <v>80</v>
      </c>
      <c r="N6" s="77"/>
      <c r="O6" s="78" t="s">
        <v>51</v>
      </c>
      <c r="P6" s="79"/>
      <c r="Q6" s="80">
        <v>9</v>
      </c>
      <c r="R6" s="80"/>
      <c r="S6" s="80"/>
      <c r="T6" s="80"/>
      <c r="U6" s="80"/>
      <c r="V6" s="80"/>
      <c r="W6" s="80"/>
      <c r="X6" s="81"/>
      <c r="Y6" s="81"/>
      <c r="Z6" s="82">
        <v>1600</v>
      </c>
      <c r="AA6" s="78" t="s">
        <v>51</v>
      </c>
      <c r="AB6" s="79"/>
      <c r="AC6" s="80">
        <v>8</v>
      </c>
      <c r="AD6" s="80"/>
      <c r="AE6" s="80"/>
      <c r="AF6" s="80"/>
      <c r="AG6" s="80"/>
      <c r="AH6" s="80"/>
      <c r="AI6" s="80"/>
      <c r="AJ6" s="81"/>
      <c r="AK6" s="81"/>
      <c r="AL6" s="82">
        <v>2300</v>
      </c>
      <c r="AM6" s="75">
        <v>1</v>
      </c>
      <c r="AN6" s="75"/>
      <c r="AO6" s="77"/>
      <c r="AP6" s="74"/>
      <c r="AQ6" s="75"/>
      <c r="AR6" s="77"/>
      <c r="AS6" s="75"/>
      <c r="AT6" s="75"/>
      <c r="AU6" s="77"/>
      <c r="AV6" s="77"/>
      <c r="AW6" s="75"/>
      <c r="AX6" s="75"/>
      <c r="AY6" s="83"/>
      <c r="AZ6" s="75">
        <v>20000</v>
      </c>
      <c r="BA6" s="75"/>
      <c r="BB6" s="77"/>
      <c r="BC6" s="75"/>
      <c r="BD6" s="75"/>
      <c r="BE6" s="77"/>
      <c r="BF6" s="75"/>
      <c r="BG6" s="75"/>
      <c r="BH6" s="77"/>
      <c r="BI6" s="77"/>
      <c r="BJ6" s="75"/>
      <c r="BK6" s="75"/>
      <c r="BL6" s="83"/>
      <c r="BM6" s="84">
        <v>0.45</v>
      </c>
      <c r="BN6" s="84"/>
      <c r="BO6" s="84"/>
      <c r="BP6" s="85"/>
      <c r="BQ6" s="86"/>
      <c r="BR6" s="86" t="str">
        <f t="shared" ref="BR6:BR15" si="0">E6</f>
        <v>usługowe</v>
      </c>
    </row>
    <row r="7" spans="1:70">
      <c r="A7" s="70" t="s">
        <v>52</v>
      </c>
      <c r="B7" s="70" t="s">
        <v>53</v>
      </c>
      <c r="C7" s="71">
        <v>25</v>
      </c>
      <c r="D7" s="71" t="s">
        <v>44</v>
      </c>
      <c r="E7" s="72" t="s">
        <v>45</v>
      </c>
      <c r="F7" s="72" t="s">
        <v>54</v>
      </c>
      <c r="G7" s="72"/>
      <c r="H7" s="72"/>
      <c r="I7" s="72"/>
      <c r="J7" s="73"/>
      <c r="K7" s="74">
        <v>47</v>
      </c>
      <c r="L7" s="75">
        <v>32</v>
      </c>
      <c r="M7" s="76">
        <v>25</v>
      </c>
      <c r="N7" s="77"/>
      <c r="O7" s="78" t="s">
        <v>55</v>
      </c>
      <c r="P7" s="79"/>
      <c r="Q7" s="80">
        <v>0.8</v>
      </c>
      <c r="R7" s="80"/>
      <c r="S7" s="80"/>
      <c r="T7" s="80"/>
      <c r="U7" s="80"/>
      <c r="V7" s="80"/>
      <c r="W7" s="80"/>
      <c r="X7" s="81"/>
      <c r="Y7" s="81"/>
      <c r="Z7" s="82">
        <v>2000</v>
      </c>
      <c r="AA7" s="78" t="s">
        <v>55</v>
      </c>
      <c r="AB7" s="79"/>
      <c r="AC7" s="80">
        <v>0.8</v>
      </c>
      <c r="AD7" s="80"/>
      <c r="AE7" s="80"/>
      <c r="AF7" s="80"/>
      <c r="AG7" s="80"/>
      <c r="AH7" s="80"/>
      <c r="AI7" s="80"/>
      <c r="AJ7" s="81"/>
      <c r="AK7" s="81"/>
      <c r="AL7" s="82">
        <v>2000</v>
      </c>
      <c r="AM7" s="75"/>
      <c r="AN7" s="75"/>
      <c r="AO7" s="77"/>
      <c r="AP7" s="74"/>
      <c r="AQ7" s="75"/>
      <c r="AR7" s="77">
        <v>2</v>
      </c>
      <c r="AS7" s="75"/>
      <c r="AT7" s="75"/>
      <c r="AU7" s="77"/>
      <c r="AV7" s="77"/>
      <c r="AW7" s="75"/>
      <c r="AX7" s="75"/>
      <c r="AY7" s="83"/>
      <c r="AZ7" s="75"/>
      <c r="BA7" s="75"/>
      <c r="BB7" s="77">
        <v>45000</v>
      </c>
      <c r="BC7" s="75"/>
      <c r="BD7" s="75"/>
      <c r="BE7" s="77"/>
      <c r="BF7" s="75"/>
      <c r="BG7" s="75"/>
      <c r="BH7" s="77"/>
      <c r="BI7" s="77"/>
      <c r="BJ7" s="75"/>
      <c r="BK7" s="75"/>
      <c r="BL7" s="83"/>
      <c r="BM7" s="84"/>
      <c r="BN7" s="84">
        <v>0.15</v>
      </c>
      <c r="BO7" s="84"/>
      <c r="BP7" s="85"/>
      <c r="BQ7" s="86"/>
      <c r="BR7" s="86" t="str">
        <f t="shared" si="0"/>
        <v>usługowe</v>
      </c>
    </row>
    <row r="8" spans="1:70">
      <c r="A8" s="70" t="s">
        <v>42</v>
      </c>
      <c r="B8" s="70" t="s">
        <v>56</v>
      </c>
      <c r="C8" s="71">
        <v>8</v>
      </c>
      <c r="D8" s="71"/>
      <c r="E8" s="72" t="s">
        <v>45</v>
      </c>
      <c r="F8" s="72" t="s">
        <v>57</v>
      </c>
      <c r="G8" s="72"/>
      <c r="H8" s="72"/>
      <c r="I8" s="72"/>
      <c r="J8" s="73"/>
      <c r="K8" s="74">
        <v>610</v>
      </c>
      <c r="L8" s="75">
        <v>500</v>
      </c>
      <c r="M8" s="76">
        <v>119</v>
      </c>
      <c r="N8" s="77"/>
      <c r="O8" s="78" t="s">
        <v>51</v>
      </c>
      <c r="P8" s="79"/>
      <c r="Q8" s="80">
        <v>39.78</v>
      </c>
      <c r="R8" s="80"/>
      <c r="S8" s="80">
        <v>4</v>
      </c>
      <c r="T8" s="80"/>
      <c r="U8" s="80"/>
      <c r="V8" s="80"/>
      <c r="W8" s="80"/>
      <c r="X8" s="81"/>
      <c r="Y8" s="81"/>
      <c r="Z8" s="82">
        <v>31058</v>
      </c>
      <c r="AA8" s="78" t="s">
        <v>51</v>
      </c>
      <c r="AB8" s="79"/>
      <c r="AC8" s="80">
        <v>39.78</v>
      </c>
      <c r="AD8" s="80"/>
      <c r="AE8" s="80">
        <v>4</v>
      </c>
      <c r="AF8" s="80"/>
      <c r="AG8" s="80"/>
      <c r="AH8" s="80"/>
      <c r="AI8" s="80"/>
      <c r="AJ8" s="81"/>
      <c r="AK8" s="81"/>
      <c r="AL8" s="82">
        <v>31058</v>
      </c>
      <c r="AM8" s="75"/>
      <c r="AN8" s="75"/>
      <c r="AO8" s="77"/>
      <c r="AP8" s="74"/>
      <c r="AQ8" s="75"/>
      <c r="AR8" s="77"/>
      <c r="AS8" s="75"/>
      <c r="AT8" s="75"/>
      <c r="AU8" s="77"/>
      <c r="AV8" s="77"/>
      <c r="AW8" s="75"/>
      <c r="AX8" s="75"/>
      <c r="AY8" s="83"/>
      <c r="AZ8" s="75"/>
      <c r="BA8" s="75"/>
      <c r="BB8" s="77"/>
      <c r="BC8" s="75"/>
      <c r="BD8" s="75"/>
      <c r="BE8" s="77"/>
      <c r="BF8" s="75"/>
      <c r="BG8" s="75"/>
      <c r="BH8" s="77"/>
      <c r="BI8" s="77"/>
      <c r="BJ8" s="75"/>
      <c r="BK8" s="75"/>
      <c r="BL8" s="83"/>
      <c r="BM8" s="84"/>
      <c r="BN8" s="84"/>
      <c r="BO8" s="84"/>
      <c r="BP8" s="85"/>
      <c r="BQ8" s="86"/>
      <c r="BR8" s="86" t="str">
        <f t="shared" si="0"/>
        <v>usługowe</v>
      </c>
    </row>
    <row r="9" spans="1:70">
      <c r="A9" s="70" t="s">
        <v>42</v>
      </c>
      <c r="B9" s="70" t="s">
        <v>56</v>
      </c>
      <c r="C9" s="71">
        <v>8</v>
      </c>
      <c r="D9" s="71"/>
      <c r="E9" s="72" t="s">
        <v>45</v>
      </c>
      <c r="F9" s="72" t="s">
        <v>58</v>
      </c>
      <c r="G9" s="72"/>
      <c r="H9" s="72"/>
      <c r="I9" s="72"/>
      <c r="J9" s="73"/>
      <c r="K9" s="74">
        <v>921</v>
      </c>
      <c r="L9" s="75">
        <v>417</v>
      </c>
      <c r="M9" s="76">
        <v>30</v>
      </c>
      <c r="N9" s="77"/>
      <c r="O9" s="78" t="s">
        <v>55</v>
      </c>
      <c r="P9" s="79"/>
      <c r="Q9" s="80"/>
      <c r="R9" s="80">
        <v>14.38</v>
      </c>
      <c r="S9" s="80"/>
      <c r="T9" s="80"/>
      <c r="U9" s="80"/>
      <c r="V9" s="80"/>
      <c r="W9" s="80"/>
      <c r="X9" s="81"/>
      <c r="Y9" s="81"/>
      <c r="Z9" s="82">
        <v>110444</v>
      </c>
      <c r="AA9" s="78" t="s">
        <v>55</v>
      </c>
      <c r="AB9" s="79"/>
      <c r="AC9" s="80"/>
      <c r="AD9" s="80">
        <v>10.53</v>
      </c>
      <c r="AE9" s="80"/>
      <c r="AF9" s="80"/>
      <c r="AG9" s="80"/>
      <c r="AH9" s="80"/>
      <c r="AI9" s="80"/>
      <c r="AJ9" s="81"/>
      <c r="AK9" s="81"/>
      <c r="AL9" s="82">
        <v>103689.7</v>
      </c>
      <c r="AM9" s="75"/>
      <c r="AN9" s="75"/>
      <c r="AO9" s="77"/>
      <c r="AP9" s="74"/>
      <c r="AQ9" s="75"/>
      <c r="AR9" s="77"/>
      <c r="AS9" s="75"/>
      <c r="AT9" s="75"/>
      <c r="AU9" s="77"/>
      <c r="AV9" s="77"/>
      <c r="AW9" s="75"/>
      <c r="AX9" s="75"/>
      <c r="AY9" s="83"/>
      <c r="AZ9" s="75"/>
      <c r="BA9" s="75"/>
      <c r="BB9" s="77"/>
      <c r="BC9" s="75"/>
      <c r="BD9" s="75"/>
      <c r="BE9" s="77"/>
      <c r="BF9" s="75"/>
      <c r="BG9" s="75"/>
      <c r="BH9" s="77"/>
      <c r="BI9" s="77"/>
      <c r="BJ9" s="75"/>
      <c r="BK9" s="75"/>
      <c r="BL9" s="83"/>
      <c r="BM9" s="84"/>
      <c r="BN9" s="84"/>
      <c r="BO9" s="84"/>
      <c r="BP9" s="85"/>
      <c r="BQ9" s="86"/>
      <c r="BR9" s="86" t="str">
        <f t="shared" si="0"/>
        <v>usługowe</v>
      </c>
    </row>
    <row r="10" spans="1:70">
      <c r="A10" s="70" t="s">
        <v>42</v>
      </c>
      <c r="B10" s="70" t="s">
        <v>56</v>
      </c>
      <c r="C10" s="71">
        <v>10</v>
      </c>
      <c r="D10" s="71"/>
      <c r="E10" s="72" t="s">
        <v>45</v>
      </c>
      <c r="F10" s="72" t="s">
        <v>59</v>
      </c>
      <c r="G10" s="72"/>
      <c r="H10" s="72"/>
      <c r="I10" s="72"/>
      <c r="J10" s="73"/>
      <c r="K10" s="74">
        <v>384.05</v>
      </c>
      <c r="L10" s="75">
        <v>384.05</v>
      </c>
      <c r="M10" s="76">
        <v>44</v>
      </c>
      <c r="N10" s="77"/>
      <c r="O10" s="78" t="s">
        <v>60</v>
      </c>
      <c r="P10" s="79"/>
      <c r="Q10" s="80">
        <v>14.24</v>
      </c>
      <c r="R10" s="80"/>
      <c r="S10" s="80"/>
      <c r="T10" s="80"/>
      <c r="U10" s="80"/>
      <c r="V10" s="80"/>
      <c r="W10" s="80"/>
      <c r="X10" s="81"/>
      <c r="Y10" s="81"/>
      <c r="Z10" s="82">
        <v>38451</v>
      </c>
      <c r="AA10" s="78" t="s">
        <v>60</v>
      </c>
      <c r="AB10" s="79"/>
      <c r="AC10" s="80">
        <v>15.23</v>
      </c>
      <c r="AD10" s="80"/>
      <c r="AE10" s="80"/>
      <c r="AF10" s="80"/>
      <c r="AG10" s="80"/>
      <c r="AH10" s="80"/>
      <c r="AI10" s="80"/>
      <c r="AJ10" s="81"/>
      <c r="AK10" s="81"/>
      <c r="AL10" s="82">
        <v>27864</v>
      </c>
      <c r="AM10" s="75"/>
      <c r="AN10" s="75"/>
      <c r="AO10" s="77"/>
      <c r="AP10" s="74"/>
      <c r="AQ10" s="75"/>
      <c r="AR10" s="77"/>
      <c r="AS10" s="75"/>
      <c r="AT10" s="75"/>
      <c r="AU10" s="77"/>
      <c r="AV10" s="77"/>
      <c r="AW10" s="75"/>
      <c r="AX10" s="75"/>
      <c r="AY10" s="83"/>
      <c r="AZ10" s="75"/>
      <c r="BA10" s="75"/>
      <c r="BB10" s="77"/>
      <c r="BC10" s="75"/>
      <c r="BD10" s="75"/>
      <c r="BE10" s="77"/>
      <c r="BF10" s="75"/>
      <c r="BG10" s="75"/>
      <c r="BH10" s="77"/>
      <c r="BI10" s="77"/>
      <c r="BJ10" s="75"/>
      <c r="BK10" s="75"/>
      <c r="BL10" s="83"/>
      <c r="BM10" s="84"/>
      <c r="BN10" s="84"/>
      <c r="BO10" s="84"/>
      <c r="BP10" s="85"/>
      <c r="BQ10" s="86"/>
      <c r="BR10" s="86" t="str">
        <f t="shared" si="0"/>
        <v>usługowe</v>
      </c>
    </row>
    <row r="11" spans="1:70">
      <c r="A11" s="70" t="s">
        <v>61</v>
      </c>
      <c r="B11" s="70" t="s">
        <v>62</v>
      </c>
      <c r="C11" s="71">
        <v>9</v>
      </c>
      <c r="D11" s="71"/>
      <c r="E11" s="72" t="s">
        <v>45</v>
      </c>
      <c r="F11" s="72" t="s">
        <v>63</v>
      </c>
      <c r="G11" s="72"/>
      <c r="H11" s="72"/>
      <c r="I11" s="72"/>
      <c r="J11" s="73"/>
      <c r="K11" s="74">
        <v>153.01</v>
      </c>
      <c r="L11" s="75">
        <v>153.01</v>
      </c>
      <c r="M11" s="76">
        <v>48</v>
      </c>
      <c r="N11" s="77"/>
      <c r="O11" s="78" t="s">
        <v>60</v>
      </c>
      <c r="P11" s="79"/>
      <c r="Q11" s="80">
        <v>12.9</v>
      </c>
      <c r="R11" s="80"/>
      <c r="S11" s="80">
        <v>1</v>
      </c>
      <c r="T11" s="80"/>
      <c r="U11" s="80"/>
      <c r="V11" s="80"/>
      <c r="W11" s="80"/>
      <c r="X11" s="81"/>
      <c r="Y11" s="81"/>
      <c r="Z11" s="82">
        <v>18963</v>
      </c>
      <c r="AA11" s="78" t="s">
        <v>60</v>
      </c>
      <c r="AB11" s="79"/>
      <c r="AC11" s="80">
        <v>20</v>
      </c>
      <c r="AD11" s="80"/>
      <c r="AE11" s="80">
        <v>4</v>
      </c>
      <c r="AF11" s="80"/>
      <c r="AG11" s="80"/>
      <c r="AH11" s="80"/>
      <c r="AI11" s="80"/>
      <c r="AJ11" s="81"/>
      <c r="AK11" s="81"/>
      <c r="AL11" s="82">
        <v>16048</v>
      </c>
      <c r="AM11" s="75"/>
      <c r="AN11" s="75"/>
      <c r="AO11" s="77"/>
      <c r="AP11" s="74"/>
      <c r="AQ11" s="75"/>
      <c r="AR11" s="77"/>
      <c r="AS11" s="75"/>
      <c r="AT11" s="75"/>
      <c r="AU11" s="77"/>
      <c r="AV11" s="77"/>
      <c r="AW11" s="75"/>
      <c r="AX11" s="75"/>
      <c r="AY11" s="83"/>
      <c r="AZ11" s="75"/>
      <c r="BA11" s="75"/>
      <c r="BB11" s="77"/>
      <c r="BC11" s="75"/>
      <c r="BD11" s="75"/>
      <c r="BE11" s="77"/>
      <c r="BF11" s="75"/>
      <c r="BG11" s="75"/>
      <c r="BH11" s="77"/>
      <c r="BI11" s="77"/>
      <c r="BJ11" s="75"/>
      <c r="BK11" s="75"/>
      <c r="BL11" s="83"/>
      <c r="BM11" s="84"/>
      <c r="BN11" s="84"/>
      <c r="BO11" s="84"/>
      <c r="BP11" s="85"/>
      <c r="BQ11" s="86"/>
      <c r="BR11" s="86" t="str">
        <f t="shared" si="0"/>
        <v>usługowe</v>
      </c>
    </row>
    <row r="12" spans="1:70">
      <c r="A12" s="70" t="s">
        <v>64</v>
      </c>
      <c r="B12" s="70" t="s">
        <v>65</v>
      </c>
      <c r="C12" s="71">
        <v>37</v>
      </c>
      <c r="D12" s="71"/>
      <c r="E12" s="72" t="s">
        <v>45</v>
      </c>
      <c r="F12" s="72" t="s">
        <v>66</v>
      </c>
      <c r="G12" s="72"/>
      <c r="H12" s="72"/>
      <c r="I12" s="72"/>
      <c r="J12" s="73"/>
      <c r="K12" s="74">
        <v>235.87</v>
      </c>
      <c r="L12" s="75">
        <v>107.92</v>
      </c>
      <c r="M12" s="76">
        <v>85</v>
      </c>
      <c r="N12" s="77"/>
      <c r="O12" s="78" t="s">
        <v>60</v>
      </c>
      <c r="P12" s="79"/>
      <c r="Q12" s="80">
        <v>21.04</v>
      </c>
      <c r="R12" s="80"/>
      <c r="S12" s="80">
        <v>1</v>
      </c>
      <c r="T12" s="80"/>
      <c r="U12" s="80"/>
      <c r="V12" s="80"/>
      <c r="W12" s="80"/>
      <c r="X12" s="81"/>
      <c r="Y12" s="81"/>
      <c r="Z12" s="82">
        <v>20724</v>
      </c>
      <c r="AA12" s="78" t="s">
        <v>60</v>
      </c>
      <c r="AB12" s="79"/>
      <c r="AC12" s="80">
        <v>18</v>
      </c>
      <c r="AD12" s="80"/>
      <c r="AE12" s="80">
        <v>2</v>
      </c>
      <c r="AF12" s="80"/>
      <c r="AG12" s="80"/>
      <c r="AH12" s="80"/>
      <c r="AI12" s="80"/>
      <c r="AJ12" s="81"/>
      <c r="AK12" s="81"/>
      <c r="AL12" s="82">
        <v>20735</v>
      </c>
      <c r="AM12" s="75"/>
      <c r="AN12" s="75"/>
      <c r="AO12" s="77"/>
      <c r="AP12" s="74"/>
      <c r="AQ12" s="75"/>
      <c r="AR12" s="77"/>
      <c r="AS12" s="75"/>
      <c r="AT12" s="75"/>
      <c r="AU12" s="77"/>
      <c r="AV12" s="77"/>
      <c r="AW12" s="75"/>
      <c r="AX12" s="75"/>
      <c r="AY12" s="83"/>
      <c r="AZ12" s="75"/>
      <c r="BA12" s="75"/>
      <c r="BB12" s="77"/>
      <c r="BC12" s="75"/>
      <c r="BD12" s="75"/>
      <c r="BE12" s="77"/>
      <c r="BF12" s="75"/>
      <c r="BG12" s="75"/>
      <c r="BH12" s="77"/>
      <c r="BI12" s="77"/>
      <c r="BJ12" s="75"/>
      <c r="BK12" s="75"/>
      <c r="BL12" s="83"/>
      <c r="BM12" s="84"/>
      <c r="BN12" s="84"/>
      <c r="BO12" s="84"/>
      <c r="BP12" s="85"/>
      <c r="BQ12" s="86"/>
      <c r="BR12" s="86" t="str">
        <f t="shared" si="0"/>
        <v>usługowe</v>
      </c>
    </row>
    <row r="13" spans="1:70">
      <c r="A13" s="70" t="s">
        <v>67</v>
      </c>
      <c r="B13" s="70" t="s">
        <v>68</v>
      </c>
      <c r="C13" s="71">
        <v>57</v>
      </c>
      <c r="D13" s="71"/>
      <c r="E13" s="72" t="s">
        <v>45</v>
      </c>
      <c r="F13" s="72" t="s">
        <v>69</v>
      </c>
      <c r="G13" s="72"/>
      <c r="H13" s="72"/>
      <c r="I13" s="72"/>
      <c r="J13" s="73"/>
      <c r="K13" s="74">
        <v>203.93</v>
      </c>
      <c r="L13" s="75">
        <v>203.93</v>
      </c>
      <c r="M13" s="76">
        <v>36</v>
      </c>
      <c r="N13" s="77"/>
      <c r="O13" s="78" t="s">
        <v>60</v>
      </c>
      <c r="P13" s="79"/>
      <c r="Q13" s="80">
        <v>30.45</v>
      </c>
      <c r="R13" s="80"/>
      <c r="S13" s="80">
        <v>2</v>
      </c>
      <c r="T13" s="80"/>
      <c r="U13" s="80"/>
      <c r="V13" s="80"/>
      <c r="W13" s="80"/>
      <c r="X13" s="81"/>
      <c r="Y13" s="81"/>
      <c r="Z13" s="82">
        <v>20726</v>
      </c>
      <c r="AA13" s="78" t="s">
        <v>60</v>
      </c>
      <c r="AB13" s="79"/>
      <c r="AC13" s="80">
        <v>27</v>
      </c>
      <c r="AD13" s="80"/>
      <c r="AE13" s="80">
        <v>4</v>
      </c>
      <c r="AF13" s="80"/>
      <c r="AG13" s="80"/>
      <c r="AH13" s="80"/>
      <c r="AI13" s="80"/>
      <c r="AJ13" s="81"/>
      <c r="AK13" s="81"/>
      <c r="AL13" s="82">
        <v>20279</v>
      </c>
      <c r="AM13" s="75"/>
      <c r="AN13" s="75"/>
      <c r="AO13" s="77"/>
      <c r="AP13" s="74"/>
      <c r="AQ13" s="75"/>
      <c r="AR13" s="77"/>
      <c r="AS13" s="75"/>
      <c r="AT13" s="75"/>
      <c r="AU13" s="77"/>
      <c r="AV13" s="77"/>
      <c r="AW13" s="75"/>
      <c r="AX13" s="75"/>
      <c r="AY13" s="83"/>
      <c r="AZ13" s="75"/>
      <c r="BA13" s="75"/>
      <c r="BB13" s="77"/>
      <c r="BC13" s="75"/>
      <c r="BD13" s="75"/>
      <c r="BE13" s="77"/>
      <c r="BF13" s="75"/>
      <c r="BG13" s="75"/>
      <c r="BH13" s="77"/>
      <c r="BI13" s="77"/>
      <c r="BJ13" s="75"/>
      <c r="BK13" s="75"/>
      <c r="BL13" s="83"/>
      <c r="BM13" s="84"/>
      <c r="BN13" s="84"/>
      <c r="BO13" s="84"/>
      <c r="BP13" s="85"/>
      <c r="BQ13" s="86"/>
      <c r="BR13" s="86" t="str">
        <f t="shared" si="0"/>
        <v>usługowe</v>
      </c>
    </row>
    <row r="14" spans="1:70">
      <c r="A14" s="70" t="s">
        <v>48</v>
      </c>
      <c r="B14" s="70" t="s">
        <v>49</v>
      </c>
      <c r="C14" s="71">
        <v>73</v>
      </c>
      <c r="D14" s="71"/>
      <c r="E14" s="72" t="s">
        <v>45</v>
      </c>
      <c r="F14" s="72" t="s">
        <v>70</v>
      </c>
      <c r="G14" s="72"/>
      <c r="H14" s="72"/>
      <c r="I14" s="72"/>
      <c r="J14" s="73"/>
      <c r="K14" s="74">
        <v>100.9</v>
      </c>
      <c r="L14" s="75">
        <v>100.9</v>
      </c>
      <c r="M14" s="76">
        <v>101</v>
      </c>
      <c r="N14" s="77"/>
      <c r="O14" s="78" t="s">
        <v>60</v>
      </c>
      <c r="P14" s="79"/>
      <c r="Q14" s="80">
        <v>3</v>
      </c>
      <c r="R14" s="80"/>
      <c r="S14" s="80">
        <v>0.5</v>
      </c>
      <c r="T14" s="80"/>
      <c r="U14" s="80"/>
      <c r="V14" s="80"/>
      <c r="W14" s="80"/>
      <c r="X14" s="81"/>
      <c r="Y14" s="81"/>
      <c r="Z14" s="82">
        <v>11014</v>
      </c>
      <c r="AA14" s="78" t="s">
        <v>60</v>
      </c>
      <c r="AB14" s="79"/>
      <c r="AC14" s="80">
        <v>1.5</v>
      </c>
      <c r="AD14" s="80"/>
      <c r="AE14" s="80">
        <v>2</v>
      </c>
      <c r="AF14" s="80"/>
      <c r="AG14" s="80"/>
      <c r="AH14" s="80"/>
      <c r="AI14" s="80"/>
      <c r="AJ14" s="81"/>
      <c r="AK14" s="81"/>
      <c r="AL14" s="82">
        <v>10854</v>
      </c>
      <c r="AM14" s="75"/>
      <c r="AN14" s="75"/>
      <c r="AO14" s="77"/>
      <c r="AP14" s="74"/>
      <c r="AQ14" s="75"/>
      <c r="AR14" s="77"/>
      <c r="AS14" s="75"/>
      <c r="AT14" s="75"/>
      <c r="AU14" s="77"/>
      <c r="AV14" s="77"/>
      <c r="AW14" s="75"/>
      <c r="AX14" s="75"/>
      <c r="AY14" s="83"/>
      <c r="AZ14" s="75"/>
      <c r="BA14" s="75"/>
      <c r="BB14" s="77"/>
      <c r="BC14" s="75"/>
      <c r="BD14" s="75"/>
      <c r="BE14" s="77"/>
      <c r="BF14" s="75"/>
      <c r="BG14" s="75"/>
      <c r="BH14" s="77"/>
      <c r="BI14" s="77"/>
      <c r="BJ14" s="75"/>
      <c r="BK14" s="75"/>
      <c r="BL14" s="83"/>
      <c r="BM14" s="84"/>
      <c r="BN14" s="84"/>
      <c r="BO14" s="84"/>
      <c r="BP14" s="85"/>
      <c r="BQ14" s="86"/>
      <c r="BR14" s="86" t="str">
        <f t="shared" si="0"/>
        <v>usługowe</v>
      </c>
    </row>
    <row r="15" spans="1:70">
      <c r="A15" s="70" t="s">
        <v>52</v>
      </c>
      <c r="B15" s="70" t="s">
        <v>53</v>
      </c>
      <c r="C15" s="71">
        <v>13</v>
      </c>
      <c r="D15" s="71"/>
      <c r="E15" s="72" t="s">
        <v>45</v>
      </c>
      <c r="F15" s="72" t="s">
        <v>71</v>
      </c>
      <c r="G15" s="72"/>
      <c r="H15" s="72"/>
      <c r="I15" s="72"/>
      <c r="J15" s="73"/>
      <c r="K15" s="74">
        <v>263.37</v>
      </c>
      <c r="L15" s="75">
        <v>263.37</v>
      </c>
      <c r="M15" s="76">
        <v>55</v>
      </c>
      <c r="N15" s="77"/>
      <c r="O15" s="78" t="s">
        <v>60</v>
      </c>
      <c r="P15" s="79"/>
      <c r="Q15" s="80">
        <v>26.38</v>
      </c>
      <c r="R15" s="80"/>
      <c r="S15" s="80">
        <v>2</v>
      </c>
      <c r="T15" s="80"/>
      <c r="U15" s="80"/>
      <c r="V15" s="80"/>
      <c r="W15" s="80"/>
      <c r="X15" s="81"/>
      <c r="Y15" s="81"/>
      <c r="Z15" s="82">
        <v>19059</v>
      </c>
      <c r="AA15" s="78" t="s">
        <v>60</v>
      </c>
      <c r="AB15" s="79"/>
      <c r="AC15" s="80">
        <v>13</v>
      </c>
      <c r="AD15" s="80"/>
      <c r="AE15" s="80">
        <v>2</v>
      </c>
      <c r="AF15" s="80"/>
      <c r="AG15" s="80"/>
      <c r="AH15" s="80"/>
      <c r="AI15" s="80"/>
      <c r="AJ15" s="81"/>
      <c r="AK15" s="81"/>
      <c r="AL15" s="82">
        <v>55621</v>
      </c>
      <c r="AM15" s="75"/>
      <c r="AN15" s="75"/>
      <c r="AO15" s="77"/>
      <c r="AP15" s="74"/>
      <c r="AQ15" s="75"/>
      <c r="AR15" s="77">
        <v>2</v>
      </c>
      <c r="AS15" s="75"/>
      <c r="AT15" s="75"/>
      <c r="AU15" s="77"/>
      <c r="AV15" s="77"/>
      <c r="AW15" s="75"/>
      <c r="AX15" s="75"/>
      <c r="AY15" s="83"/>
      <c r="AZ15" s="75"/>
      <c r="BA15" s="75"/>
      <c r="BB15" s="77"/>
      <c r="BC15" s="75"/>
      <c r="BD15" s="75"/>
      <c r="BE15" s="77">
        <f>(51848+59099)/2</f>
        <v>55473.5</v>
      </c>
      <c r="BF15" s="75"/>
      <c r="BG15" s="75"/>
      <c r="BH15" s="77"/>
      <c r="BI15" s="77"/>
      <c r="BJ15" s="75"/>
      <c r="BK15" s="75"/>
      <c r="BL15" s="83"/>
      <c r="BM15" s="84"/>
      <c r="BN15" s="84"/>
      <c r="BO15" s="84"/>
      <c r="BP15" s="85"/>
      <c r="BQ15" s="86"/>
      <c r="BR15" s="86" t="str">
        <f t="shared" si="0"/>
        <v>usługowe</v>
      </c>
    </row>
    <row r="16" spans="1:70">
      <c r="A16" s="70" t="s">
        <v>67</v>
      </c>
      <c r="B16" s="70" t="s">
        <v>72</v>
      </c>
      <c r="C16" s="71">
        <v>6</v>
      </c>
      <c r="D16" s="71"/>
      <c r="E16" s="72" t="s">
        <v>45</v>
      </c>
      <c r="F16" s="70" t="s">
        <v>73</v>
      </c>
      <c r="G16" s="72"/>
      <c r="H16" s="72"/>
      <c r="I16" s="72"/>
      <c r="J16" s="73"/>
      <c r="K16" s="74">
        <v>918</v>
      </c>
      <c r="L16" s="75">
        <v>918</v>
      </c>
      <c r="M16" s="76">
        <v>45</v>
      </c>
      <c r="N16" s="77"/>
      <c r="O16" s="78" t="s">
        <v>74</v>
      </c>
      <c r="P16" s="87"/>
      <c r="Q16" s="88">
        <v>6</v>
      </c>
      <c r="R16" s="88"/>
      <c r="S16" s="88"/>
      <c r="T16" s="88"/>
      <c r="U16" s="88"/>
      <c r="V16" s="88"/>
      <c r="W16" s="88"/>
      <c r="X16" s="89"/>
      <c r="Y16" s="89"/>
      <c r="Z16" s="82">
        <v>21305</v>
      </c>
      <c r="AA16" s="78" t="s">
        <v>74</v>
      </c>
      <c r="AB16" s="87"/>
      <c r="AC16" s="88">
        <v>6</v>
      </c>
      <c r="AD16" s="88"/>
      <c r="AE16" s="88"/>
      <c r="AF16" s="88"/>
      <c r="AG16" s="88"/>
      <c r="AH16" s="88"/>
      <c r="AI16" s="88"/>
      <c r="AJ16" s="89"/>
      <c r="AK16" s="89"/>
      <c r="AL16" s="82">
        <v>29488</v>
      </c>
      <c r="AM16" s="75"/>
      <c r="AN16" s="75"/>
      <c r="AO16" s="77">
        <v>1</v>
      </c>
      <c r="AP16" s="74"/>
      <c r="AQ16" s="75"/>
      <c r="AR16" s="77">
        <v>1</v>
      </c>
      <c r="AS16" s="75"/>
      <c r="AT16" s="75"/>
      <c r="AU16" s="77">
        <v>1</v>
      </c>
      <c r="AV16" s="77"/>
      <c r="AW16" s="75"/>
      <c r="AX16" s="75"/>
      <c r="AY16" s="83"/>
      <c r="AZ16" s="75"/>
      <c r="BA16" s="75"/>
      <c r="BB16" s="77">
        <v>10000</v>
      </c>
      <c r="BC16" s="75"/>
      <c r="BD16" s="75"/>
      <c r="BE16" s="77">
        <v>10000</v>
      </c>
      <c r="BF16" s="75"/>
      <c r="BG16" s="75"/>
      <c r="BH16" s="77">
        <v>10000</v>
      </c>
      <c r="BI16" s="77"/>
      <c r="BJ16" s="75"/>
      <c r="BK16" s="75"/>
      <c r="BL16" s="83"/>
      <c r="BM16" s="84">
        <v>0.3</v>
      </c>
      <c r="BN16" s="84">
        <v>0.3</v>
      </c>
      <c r="BO16" s="84">
        <v>0.3</v>
      </c>
      <c r="BP16" s="85"/>
      <c r="BQ16" s="86" t="s">
        <v>45</v>
      </c>
      <c r="BR16" s="86"/>
    </row>
    <row r="17" spans="1:70">
      <c r="A17" s="70" t="s">
        <v>42</v>
      </c>
      <c r="B17" s="70" t="s">
        <v>75</v>
      </c>
      <c r="C17" s="71">
        <v>48</v>
      </c>
      <c r="D17" s="71" t="s">
        <v>44</v>
      </c>
      <c r="E17" s="72" t="s">
        <v>45</v>
      </c>
      <c r="F17" s="70" t="s">
        <v>76</v>
      </c>
      <c r="G17" s="72"/>
      <c r="H17" s="72"/>
      <c r="I17" s="72"/>
      <c r="J17" s="73"/>
      <c r="K17" s="74">
        <v>400</v>
      </c>
      <c r="L17" s="75">
        <v>200</v>
      </c>
      <c r="M17" s="76">
        <v>45</v>
      </c>
      <c r="N17" s="77"/>
      <c r="O17" s="78" t="s">
        <v>60</v>
      </c>
      <c r="P17" s="79"/>
      <c r="Q17" s="80">
        <v>15</v>
      </c>
      <c r="R17" s="80"/>
      <c r="S17" s="80"/>
      <c r="T17" s="80"/>
      <c r="U17" s="80"/>
      <c r="V17" s="80"/>
      <c r="W17" s="80"/>
      <c r="X17" s="81"/>
      <c r="Y17" s="81"/>
      <c r="Z17" s="82">
        <v>4000</v>
      </c>
      <c r="AA17" s="78" t="s">
        <v>60</v>
      </c>
      <c r="AB17" s="79"/>
      <c r="AC17" s="80">
        <v>12</v>
      </c>
      <c r="AD17" s="80"/>
      <c r="AE17" s="80"/>
      <c r="AF17" s="80"/>
      <c r="AG17" s="80"/>
      <c r="AH17" s="80"/>
      <c r="AI17" s="80"/>
      <c r="AJ17" s="81"/>
      <c r="AK17" s="81"/>
      <c r="AL17" s="82">
        <v>5000</v>
      </c>
      <c r="AM17" s="75"/>
      <c r="AN17" s="75"/>
      <c r="AO17" s="77"/>
      <c r="AP17" s="74"/>
      <c r="AQ17" s="75"/>
      <c r="AR17" s="77"/>
      <c r="AS17" s="75"/>
      <c r="AT17" s="75"/>
      <c r="AU17" s="77"/>
      <c r="AV17" s="77"/>
      <c r="AW17" s="75"/>
      <c r="AX17" s="75"/>
      <c r="AY17" s="83"/>
      <c r="AZ17" s="75"/>
      <c r="BA17" s="75"/>
      <c r="BB17" s="77"/>
      <c r="BC17" s="75"/>
      <c r="BD17" s="75"/>
      <c r="BE17" s="77"/>
      <c r="BF17" s="75"/>
      <c r="BG17" s="75"/>
      <c r="BH17" s="77"/>
      <c r="BI17" s="77"/>
      <c r="BJ17" s="75"/>
      <c r="BK17" s="75"/>
      <c r="BL17" s="83"/>
      <c r="BM17" s="84"/>
      <c r="BN17" s="84"/>
      <c r="BO17" s="84"/>
      <c r="BP17" s="85"/>
      <c r="BQ17" s="86"/>
      <c r="BR17" s="86" t="str">
        <f>E17</f>
        <v>usługowe</v>
      </c>
    </row>
    <row r="18" spans="1:70">
      <c r="A18" s="70" t="s">
        <v>77</v>
      </c>
      <c r="B18" s="70" t="s">
        <v>78</v>
      </c>
      <c r="C18" s="71">
        <v>4</v>
      </c>
      <c r="D18" s="71"/>
      <c r="E18" s="72" t="s">
        <v>45</v>
      </c>
      <c r="F18" s="70" t="s">
        <v>79</v>
      </c>
      <c r="G18" s="72"/>
      <c r="H18" s="72"/>
      <c r="I18" s="72"/>
      <c r="J18" s="73"/>
      <c r="K18" s="74"/>
      <c r="L18" s="75"/>
      <c r="M18" s="76">
        <v>6</v>
      </c>
      <c r="N18" s="77"/>
      <c r="O18" s="78" t="s">
        <v>80</v>
      </c>
      <c r="P18" s="87"/>
      <c r="Q18" s="88"/>
      <c r="R18" s="88"/>
      <c r="S18" s="88"/>
      <c r="T18" s="88"/>
      <c r="U18" s="88"/>
      <c r="V18" s="88"/>
      <c r="W18" s="88"/>
      <c r="X18" s="89"/>
      <c r="Y18" s="89"/>
      <c r="Z18" s="82"/>
      <c r="AA18" s="78" t="s">
        <v>80</v>
      </c>
      <c r="AB18" s="87"/>
      <c r="AC18" s="88"/>
      <c r="AD18" s="88"/>
      <c r="AE18" s="88"/>
      <c r="AF18" s="88"/>
      <c r="AG18" s="88"/>
      <c r="AH18" s="88">
        <v>122956.65</v>
      </c>
      <c r="AI18" s="88"/>
      <c r="AJ18" s="89"/>
      <c r="AK18" s="89"/>
      <c r="AL18" s="82"/>
      <c r="AM18" s="75"/>
      <c r="AN18" s="75"/>
      <c r="AO18" s="77"/>
      <c r="AP18" s="74"/>
      <c r="AQ18" s="75"/>
      <c r="AR18" s="77"/>
      <c r="AS18" s="75"/>
      <c r="AT18" s="75"/>
      <c r="AU18" s="77"/>
      <c r="AV18" s="77"/>
      <c r="AW18" s="75"/>
      <c r="AX18" s="75"/>
      <c r="AY18" s="83"/>
      <c r="AZ18" s="75"/>
      <c r="BA18" s="75"/>
      <c r="BB18" s="77"/>
      <c r="BC18" s="75"/>
      <c r="BD18" s="75"/>
      <c r="BE18" s="77"/>
      <c r="BF18" s="75"/>
      <c r="BG18" s="75"/>
      <c r="BH18" s="77"/>
      <c r="BI18" s="77"/>
      <c r="BJ18" s="75"/>
      <c r="BK18" s="75"/>
      <c r="BL18" s="83"/>
      <c r="BM18" s="84"/>
      <c r="BN18" s="84"/>
      <c r="BO18" s="84"/>
      <c r="BP18" s="85"/>
      <c r="BQ18" s="86" t="s">
        <v>45</v>
      </c>
      <c r="BR18" s="86"/>
    </row>
    <row r="19" spans="1:70">
      <c r="A19" s="70" t="s">
        <v>77</v>
      </c>
      <c r="B19" s="70" t="s">
        <v>78</v>
      </c>
      <c r="C19" s="71">
        <v>4</v>
      </c>
      <c r="D19" s="71"/>
      <c r="E19" s="72" t="s">
        <v>45</v>
      </c>
      <c r="F19" s="70" t="s">
        <v>81</v>
      </c>
      <c r="G19" s="72"/>
      <c r="H19" s="72"/>
      <c r="I19" s="72"/>
      <c r="J19" s="73"/>
      <c r="K19" s="74"/>
      <c r="L19" s="75"/>
      <c r="M19" s="76">
        <v>1</v>
      </c>
      <c r="N19" s="77"/>
      <c r="O19" s="78"/>
      <c r="P19" s="87"/>
      <c r="Q19" s="88"/>
      <c r="R19" s="88"/>
      <c r="S19" s="88"/>
      <c r="T19" s="88"/>
      <c r="U19" s="88"/>
      <c r="V19" s="88"/>
      <c r="W19" s="88"/>
      <c r="X19" s="89"/>
      <c r="Y19" s="89"/>
      <c r="Z19" s="82"/>
      <c r="AA19" s="78" t="s">
        <v>82</v>
      </c>
      <c r="AB19" s="87"/>
      <c r="AC19" s="88"/>
      <c r="AD19" s="88"/>
      <c r="AE19" s="88"/>
      <c r="AF19" s="88"/>
      <c r="AG19" s="88"/>
      <c r="AH19" s="88">
        <v>709756.65</v>
      </c>
      <c r="AI19" s="88"/>
      <c r="AJ19" s="89"/>
      <c r="AK19" s="89"/>
      <c r="AL19" s="82"/>
      <c r="AM19" s="75"/>
      <c r="AN19" s="75"/>
      <c r="AO19" s="77">
        <v>22</v>
      </c>
      <c r="AP19" s="74"/>
      <c r="AQ19" s="75"/>
      <c r="AR19" s="77">
        <v>7</v>
      </c>
      <c r="AS19" s="75"/>
      <c r="AT19" s="75"/>
      <c r="AU19" s="77">
        <v>92</v>
      </c>
      <c r="AV19" s="77"/>
      <c r="AW19" s="75"/>
      <c r="AX19" s="75"/>
      <c r="AY19" s="83"/>
      <c r="AZ19" s="75"/>
      <c r="BA19" s="75"/>
      <c r="BB19" s="77">
        <f>1100000/AO19</f>
        <v>50000</v>
      </c>
      <c r="BC19" s="75"/>
      <c r="BD19" s="75"/>
      <c r="BE19" s="77">
        <f>300000/AR19</f>
        <v>42857.142857142855</v>
      </c>
      <c r="BF19" s="75"/>
      <c r="BG19" s="75"/>
      <c r="BH19" s="77">
        <f>8500000/AU19</f>
        <v>92391.304347826081</v>
      </c>
      <c r="BI19" s="77"/>
      <c r="BJ19" s="75"/>
      <c r="BK19" s="75"/>
      <c r="BL19" s="83"/>
      <c r="BM19" s="84">
        <v>0.02</v>
      </c>
      <c r="BN19" s="84">
        <v>0.02</v>
      </c>
      <c r="BO19" s="84">
        <v>0.02</v>
      </c>
      <c r="BP19" s="85"/>
      <c r="BQ19" s="86" t="s">
        <v>45</v>
      </c>
      <c r="BR19" s="86"/>
    </row>
    <row r="20" spans="1:70">
      <c r="A20" s="70" t="s">
        <v>42</v>
      </c>
      <c r="B20" s="70" t="s">
        <v>83</v>
      </c>
      <c r="C20" s="71">
        <v>9</v>
      </c>
      <c r="D20" s="71" t="s">
        <v>44</v>
      </c>
      <c r="E20" s="72" t="s">
        <v>45</v>
      </c>
      <c r="F20" s="70" t="s">
        <v>84</v>
      </c>
      <c r="G20" s="72"/>
      <c r="H20" s="72"/>
      <c r="I20" s="72"/>
      <c r="J20" s="73"/>
      <c r="K20" s="74">
        <v>3676</v>
      </c>
      <c r="L20" s="75">
        <v>2000</v>
      </c>
      <c r="M20" s="76">
        <v>50</v>
      </c>
      <c r="N20" s="77"/>
      <c r="O20" s="78" t="s">
        <v>85</v>
      </c>
      <c r="P20" s="87"/>
      <c r="Q20" s="88">
        <v>240.2</v>
      </c>
      <c r="R20" s="88"/>
      <c r="S20" s="88"/>
      <c r="T20" s="88"/>
      <c r="U20" s="88"/>
      <c r="V20" s="88"/>
      <c r="W20" s="88"/>
      <c r="X20" s="89"/>
      <c r="Y20" s="89"/>
      <c r="Z20" s="82">
        <v>1308</v>
      </c>
      <c r="AA20" s="78" t="s">
        <v>85</v>
      </c>
      <c r="AB20" s="87"/>
      <c r="AC20" s="88">
        <v>212.24</v>
      </c>
      <c r="AD20" s="88"/>
      <c r="AE20" s="88"/>
      <c r="AF20" s="88"/>
      <c r="AG20" s="88"/>
      <c r="AH20" s="88"/>
      <c r="AI20" s="88"/>
      <c r="AJ20" s="89"/>
      <c r="AK20" s="89"/>
      <c r="AL20" s="82">
        <v>1402</v>
      </c>
      <c r="AM20" s="75"/>
      <c r="AN20" s="75"/>
      <c r="AO20" s="77"/>
      <c r="AP20" s="74"/>
      <c r="AQ20" s="75"/>
      <c r="AR20" s="77"/>
      <c r="AS20" s="75"/>
      <c r="AT20" s="75"/>
      <c r="AU20" s="77"/>
      <c r="AV20" s="77"/>
      <c r="AW20" s="75"/>
      <c r="AX20" s="75"/>
      <c r="AY20" s="83"/>
      <c r="AZ20" s="75"/>
      <c r="BA20" s="75"/>
      <c r="BB20" s="77"/>
      <c r="BC20" s="75"/>
      <c r="BD20" s="75"/>
      <c r="BE20" s="77"/>
      <c r="BF20" s="75"/>
      <c r="BG20" s="75"/>
      <c r="BH20" s="77"/>
      <c r="BI20" s="77"/>
      <c r="BJ20" s="75"/>
      <c r="BK20" s="75"/>
      <c r="BL20" s="83"/>
      <c r="BM20" s="84"/>
      <c r="BN20" s="84"/>
      <c r="BO20" s="84"/>
      <c r="BP20" s="85"/>
      <c r="BQ20" s="86" t="s">
        <v>45</v>
      </c>
      <c r="BR20" s="86"/>
    </row>
    <row r="21" spans="1:70">
      <c r="A21" s="70" t="s">
        <v>48</v>
      </c>
      <c r="B21" s="70" t="s">
        <v>86</v>
      </c>
      <c r="C21" s="71">
        <v>1</v>
      </c>
      <c r="D21" s="71"/>
      <c r="E21" s="72" t="s">
        <v>45</v>
      </c>
      <c r="F21" s="70" t="s">
        <v>87</v>
      </c>
      <c r="G21" s="72"/>
      <c r="H21" s="72"/>
      <c r="I21" s="72"/>
      <c r="J21" s="73"/>
      <c r="K21" s="74">
        <v>351</v>
      </c>
      <c r="L21" s="75">
        <v>180</v>
      </c>
      <c r="M21" s="76">
        <v>35</v>
      </c>
      <c r="N21" s="77"/>
      <c r="O21" s="78" t="s">
        <v>60</v>
      </c>
      <c r="P21" s="79"/>
      <c r="Q21" s="80"/>
      <c r="R21" s="80"/>
      <c r="S21" s="80"/>
      <c r="T21" s="80"/>
      <c r="U21" s="80"/>
      <c r="V21" s="80"/>
      <c r="W21" s="80"/>
      <c r="X21" s="81"/>
      <c r="Y21" s="81"/>
      <c r="Z21" s="82">
        <v>181</v>
      </c>
      <c r="AA21" s="78" t="s">
        <v>60</v>
      </c>
      <c r="AB21" s="79"/>
      <c r="AC21" s="80"/>
      <c r="AD21" s="80"/>
      <c r="AE21" s="80"/>
      <c r="AF21" s="80"/>
      <c r="AG21" s="80"/>
      <c r="AH21" s="80"/>
      <c r="AI21" s="80"/>
      <c r="AJ21" s="81"/>
      <c r="AK21" s="81"/>
      <c r="AL21" s="82">
        <v>72</v>
      </c>
      <c r="AM21" s="75"/>
      <c r="AN21" s="75"/>
      <c r="AO21" s="77"/>
      <c r="AP21" s="74"/>
      <c r="AQ21" s="75"/>
      <c r="AR21" s="77"/>
      <c r="AS21" s="75"/>
      <c r="AT21" s="75"/>
      <c r="AU21" s="77"/>
      <c r="AV21" s="77"/>
      <c r="AW21" s="75"/>
      <c r="AX21" s="75"/>
      <c r="AY21" s="83"/>
      <c r="AZ21" s="75"/>
      <c r="BA21" s="75"/>
      <c r="BB21" s="77"/>
      <c r="BC21" s="75"/>
      <c r="BD21" s="75"/>
      <c r="BE21" s="77"/>
      <c r="BF21" s="75"/>
      <c r="BG21" s="75"/>
      <c r="BH21" s="77"/>
      <c r="BI21" s="77"/>
      <c r="BJ21" s="75"/>
      <c r="BK21" s="75"/>
      <c r="BL21" s="83"/>
      <c r="BM21" s="84"/>
      <c r="BN21" s="84"/>
      <c r="BO21" s="84"/>
      <c r="BP21" s="85"/>
      <c r="BQ21" s="86"/>
      <c r="BR21" s="86" t="str">
        <f t="shared" ref="BR21:BR27" si="1">E21</f>
        <v>usługowe</v>
      </c>
    </row>
    <row r="22" spans="1:70">
      <c r="A22" s="70" t="s">
        <v>48</v>
      </c>
      <c r="B22" s="70" t="s">
        <v>86</v>
      </c>
      <c r="C22" s="71">
        <v>1</v>
      </c>
      <c r="D22" s="71"/>
      <c r="E22" s="72" t="s">
        <v>45</v>
      </c>
      <c r="F22" s="72" t="s">
        <v>88</v>
      </c>
      <c r="G22" s="72"/>
      <c r="H22" s="72"/>
      <c r="I22" s="72"/>
      <c r="J22" s="73"/>
      <c r="K22" s="74">
        <v>422</v>
      </c>
      <c r="L22" s="75">
        <v>120</v>
      </c>
      <c r="M22" s="76">
        <v>37</v>
      </c>
      <c r="N22" s="77"/>
      <c r="O22" s="78" t="s">
        <v>74</v>
      </c>
      <c r="P22" s="79"/>
      <c r="Q22" s="80"/>
      <c r="R22" s="80"/>
      <c r="S22" s="80"/>
      <c r="T22" s="80"/>
      <c r="U22" s="80"/>
      <c r="V22" s="80"/>
      <c r="W22" s="80"/>
      <c r="X22" s="81"/>
      <c r="Y22" s="81"/>
      <c r="Z22" s="82">
        <v>205</v>
      </c>
      <c r="AA22" s="78" t="s">
        <v>74</v>
      </c>
      <c r="AB22" s="79"/>
      <c r="AC22" s="80"/>
      <c r="AD22" s="80"/>
      <c r="AE22" s="80"/>
      <c r="AF22" s="80"/>
      <c r="AG22" s="80"/>
      <c r="AH22" s="80"/>
      <c r="AI22" s="80"/>
      <c r="AJ22" s="81"/>
      <c r="AK22" s="81"/>
      <c r="AL22" s="82">
        <v>184</v>
      </c>
      <c r="AM22" s="75"/>
      <c r="AN22" s="75"/>
      <c r="AO22" s="77"/>
      <c r="AP22" s="74"/>
      <c r="AQ22" s="75"/>
      <c r="AR22" s="77"/>
      <c r="AS22" s="75"/>
      <c r="AT22" s="75"/>
      <c r="AU22" s="77"/>
      <c r="AV22" s="77"/>
      <c r="AW22" s="75"/>
      <c r="AX22" s="75"/>
      <c r="AY22" s="83"/>
      <c r="AZ22" s="75"/>
      <c r="BA22" s="75"/>
      <c r="BB22" s="77"/>
      <c r="BC22" s="75"/>
      <c r="BD22" s="75"/>
      <c r="BE22" s="77"/>
      <c r="BF22" s="75"/>
      <c r="BG22" s="75"/>
      <c r="BH22" s="77"/>
      <c r="BI22" s="77"/>
      <c r="BJ22" s="75"/>
      <c r="BK22" s="75"/>
      <c r="BL22" s="83"/>
      <c r="BM22" s="84"/>
      <c r="BN22" s="84"/>
      <c r="BO22" s="84"/>
      <c r="BP22" s="85"/>
      <c r="BQ22" s="86"/>
      <c r="BR22" s="86" t="str">
        <f t="shared" si="1"/>
        <v>usługowe</v>
      </c>
    </row>
    <row r="23" spans="1:70">
      <c r="A23" s="70" t="s">
        <v>48</v>
      </c>
      <c r="B23" s="70" t="s">
        <v>86</v>
      </c>
      <c r="C23" s="71">
        <v>1</v>
      </c>
      <c r="D23" s="71"/>
      <c r="E23" s="72" t="s">
        <v>45</v>
      </c>
      <c r="F23" s="72" t="s">
        <v>89</v>
      </c>
      <c r="G23" s="72"/>
      <c r="H23" s="72"/>
      <c r="I23" s="72"/>
      <c r="J23" s="73"/>
      <c r="K23" s="74">
        <v>507</v>
      </c>
      <c r="L23" s="75">
        <v>0</v>
      </c>
      <c r="M23" s="76">
        <v>32</v>
      </c>
      <c r="N23" s="77"/>
      <c r="O23" s="78"/>
      <c r="P23" s="79"/>
      <c r="Q23" s="80"/>
      <c r="R23" s="80"/>
      <c r="S23" s="80"/>
      <c r="T23" s="80"/>
      <c r="U23" s="80"/>
      <c r="V23" s="80"/>
      <c r="W23" s="80"/>
      <c r="X23" s="81"/>
      <c r="Y23" s="81"/>
      <c r="Z23" s="82">
        <v>188</v>
      </c>
      <c r="AA23" s="78"/>
      <c r="AB23" s="79"/>
      <c r="AC23" s="80"/>
      <c r="AD23" s="80"/>
      <c r="AE23" s="80"/>
      <c r="AF23" s="80"/>
      <c r="AG23" s="80"/>
      <c r="AH23" s="80"/>
      <c r="AI23" s="80"/>
      <c r="AJ23" s="81"/>
      <c r="AK23" s="81"/>
      <c r="AL23" s="82"/>
      <c r="AM23" s="75"/>
      <c r="AN23" s="75"/>
      <c r="AO23" s="77"/>
      <c r="AP23" s="74"/>
      <c r="AQ23" s="75"/>
      <c r="AR23" s="77"/>
      <c r="AS23" s="75"/>
      <c r="AT23" s="75"/>
      <c r="AU23" s="77"/>
      <c r="AV23" s="77"/>
      <c r="AW23" s="75"/>
      <c r="AX23" s="75"/>
      <c r="AY23" s="83"/>
      <c r="AZ23" s="75"/>
      <c r="BA23" s="75"/>
      <c r="BB23" s="77"/>
      <c r="BC23" s="75"/>
      <c r="BD23" s="75"/>
      <c r="BE23" s="77"/>
      <c r="BF23" s="75"/>
      <c r="BG23" s="75"/>
      <c r="BH23" s="77"/>
      <c r="BI23" s="77"/>
      <c r="BJ23" s="75"/>
      <c r="BK23" s="75"/>
      <c r="BL23" s="83"/>
      <c r="BM23" s="84"/>
      <c r="BN23" s="84"/>
      <c r="BO23" s="84"/>
      <c r="BP23" s="85"/>
      <c r="BQ23" s="86"/>
      <c r="BR23" s="86" t="str">
        <f t="shared" si="1"/>
        <v>usługowe</v>
      </c>
    </row>
    <row r="24" spans="1:70">
      <c r="A24" s="70" t="s">
        <v>48</v>
      </c>
      <c r="B24" s="70" t="s">
        <v>86</v>
      </c>
      <c r="C24" s="71">
        <v>1</v>
      </c>
      <c r="D24" s="71"/>
      <c r="E24" s="72" t="s">
        <v>45</v>
      </c>
      <c r="F24" s="72" t="s">
        <v>90</v>
      </c>
      <c r="G24" s="72"/>
      <c r="H24" s="72"/>
      <c r="I24" s="72"/>
      <c r="J24" s="73"/>
      <c r="K24" s="74">
        <v>7812</v>
      </c>
      <c r="L24" s="75">
        <v>2600</v>
      </c>
      <c r="M24" s="76">
        <v>40</v>
      </c>
      <c r="N24" s="77"/>
      <c r="O24" s="78" t="s">
        <v>60</v>
      </c>
      <c r="P24" s="79"/>
      <c r="Q24" s="80">
        <v>51</v>
      </c>
      <c r="R24" s="80"/>
      <c r="S24" s="80"/>
      <c r="T24" s="80"/>
      <c r="U24" s="80"/>
      <c r="V24" s="80"/>
      <c r="W24" s="80"/>
      <c r="X24" s="81"/>
      <c r="Y24" s="81"/>
      <c r="Z24" s="82">
        <v>7392</v>
      </c>
      <c r="AA24" s="78" t="s">
        <v>60</v>
      </c>
      <c r="AB24" s="79"/>
      <c r="AC24" s="80">
        <v>4</v>
      </c>
      <c r="AD24" s="80"/>
      <c r="AE24" s="80"/>
      <c r="AF24" s="80"/>
      <c r="AG24" s="80"/>
      <c r="AH24" s="80"/>
      <c r="AI24" s="80"/>
      <c r="AJ24" s="81"/>
      <c r="AK24" s="81"/>
      <c r="AL24" s="82">
        <v>3088</v>
      </c>
      <c r="AM24" s="75"/>
      <c r="AN24" s="75"/>
      <c r="AO24" s="77"/>
      <c r="AP24" s="74"/>
      <c r="AQ24" s="75"/>
      <c r="AR24" s="77"/>
      <c r="AS24" s="75"/>
      <c r="AT24" s="75"/>
      <c r="AU24" s="77"/>
      <c r="AV24" s="77"/>
      <c r="AW24" s="75"/>
      <c r="AX24" s="75"/>
      <c r="AY24" s="83"/>
      <c r="AZ24" s="75"/>
      <c r="BA24" s="75"/>
      <c r="BB24" s="77"/>
      <c r="BC24" s="75"/>
      <c r="BD24" s="75"/>
      <c r="BE24" s="77"/>
      <c r="BF24" s="75"/>
      <c r="BG24" s="75"/>
      <c r="BH24" s="77"/>
      <c r="BI24" s="77"/>
      <c r="BJ24" s="75"/>
      <c r="BK24" s="75"/>
      <c r="BL24" s="83"/>
      <c r="BM24" s="84"/>
      <c r="BN24" s="84"/>
      <c r="BO24" s="84"/>
      <c r="BP24" s="85"/>
      <c r="BQ24" s="86"/>
      <c r="BR24" s="86" t="str">
        <f t="shared" si="1"/>
        <v>usługowe</v>
      </c>
    </row>
    <row r="25" spans="1:70">
      <c r="A25" s="70" t="s">
        <v>48</v>
      </c>
      <c r="B25" s="70" t="s">
        <v>86</v>
      </c>
      <c r="C25" s="71">
        <v>1</v>
      </c>
      <c r="D25" s="71"/>
      <c r="E25" s="72" t="s">
        <v>45</v>
      </c>
      <c r="F25" s="72" t="s">
        <v>91</v>
      </c>
      <c r="G25" s="72"/>
      <c r="H25" s="72"/>
      <c r="I25" s="72"/>
      <c r="J25" s="73"/>
      <c r="K25" s="74">
        <v>455</v>
      </c>
      <c r="L25" s="75">
        <v>0</v>
      </c>
      <c r="M25" s="76">
        <v>34</v>
      </c>
      <c r="N25" s="77"/>
      <c r="O25" s="78"/>
      <c r="P25" s="79"/>
      <c r="Q25" s="80"/>
      <c r="R25" s="80"/>
      <c r="S25" s="80"/>
      <c r="T25" s="80"/>
      <c r="U25" s="80"/>
      <c r="V25" s="80"/>
      <c r="W25" s="80"/>
      <c r="X25" s="81"/>
      <c r="Y25" s="81"/>
      <c r="Z25" s="82">
        <v>710</v>
      </c>
      <c r="AA25" s="78"/>
      <c r="AB25" s="79"/>
      <c r="AC25" s="80"/>
      <c r="AD25" s="80"/>
      <c r="AE25" s="80"/>
      <c r="AF25" s="80"/>
      <c r="AG25" s="80"/>
      <c r="AH25" s="80"/>
      <c r="AI25" s="80"/>
      <c r="AJ25" s="81"/>
      <c r="AK25" s="81"/>
      <c r="AL25" s="82">
        <v>354</v>
      </c>
      <c r="AM25" s="75"/>
      <c r="AN25" s="75"/>
      <c r="AO25" s="77"/>
      <c r="AP25" s="74"/>
      <c r="AQ25" s="75"/>
      <c r="AR25" s="77"/>
      <c r="AS25" s="75"/>
      <c r="AT25" s="75"/>
      <c r="AU25" s="77"/>
      <c r="AV25" s="77"/>
      <c r="AW25" s="75"/>
      <c r="AX25" s="75"/>
      <c r="AY25" s="83"/>
      <c r="AZ25" s="75"/>
      <c r="BA25" s="75"/>
      <c r="BB25" s="77"/>
      <c r="BC25" s="75"/>
      <c r="BD25" s="75"/>
      <c r="BE25" s="77"/>
      <c r="BF25" s="75"/>
      <c r="BG25" s="75"/>
      <c r="BH25" s="77"/>
      <c r="BI25" s="77"/>
      <c r="BJ25" s="75"/>
      <c r="BK25" s="75"/>
      <c r="BL25" s="83"/>
      <c r="BM25" s="84"/>
      <c r="BN25" s="84"/>
      <c r="BO25" s="84"/>
      <c r="BP25" s="85"/>
      <c r="BQ25" s="86"/>
      <c r="BR25" s="86" t="str">
        <f t="shared" si="1"/>
        <v>usługowe</v>
      </c>
    </row>
    <row r="26" spans="1:70">
      <c r="A26" s="70" t="s">
        <v>64</v>
      </c>
      <c r="B26" s="70" t="s">
        <v>92</v>
      </c>
      <c r="C26" s="71">
        <v>32</v>
      </c>
      <c r="D26" s="71"/>
      <c r="E26" s="72" t="s">
        <v>45</v>
      </c>
      <c r="F26" s="72" t="s">
        <v>93</v>
      </c>
      <c r="G26" s="72"/>
      <c r="H26" s="72"/>
      <c r="I26" s="72"/>
      <c r="J26" s="73"/>
      <c r="K26" s="74"/>
      <c r="L26" s="75">
        <v>60</v>
      </c>
      <c r="M26" s="76">
        <v>110</v>
      </c>
      <c r="N26" s="77"/>
      <c r="O26" s="78" t="s">
        <v>94</v>
      </c>
      <c r="P26" s="79"/>
      <c r="Q26" s="80"/>
      <c r="R26" s="80"/>
      <c r="S26" s="80"/>
      <c r="T26" s="80"/>
      <c r="U26" s="80"/>
      <c r="V26" s="80"/>
      <c r="W26" s="80"/>
      <c r="X26" s="81"/>
      <c r="Y26" s="81"/>
      <c r="Z26" s="82">
        <v>560000</v>
      </c>
      <c r="AA26" s="78" t="s">
        <v>94</v>
      </c>
      <c r="AB26" s="79"/>
      <c r="AC26" s="80"/>
      <c r="AD26" s="80"/>
      <c r="AE26" s="80"/>
      <c r="AF26" s="80"/>
      <c r="AG26" s="80"/>
      <c r="AH26" s="80"/>
      <c r="AI26" s="80"/>
      <c r="AJ26" s="81"/>
      <c r="AK26" s="81"/>
      <c r="AL26" s="82">
        <v>600000</v>
      </c>
      <c r="AM26" s="75"/>
      <c r="AN26" s="75"/>
      <c r="AO26" s="77"/>
      <c r="AP26" s="74"/>
      <c r="AQ26" s="75"/>
      <c r="AR26" s="77">
        <v>1</v>
      </c>
      <c r="AS26" s="75"/>
      <c r="AT26" s="75"/>
      <c r="AU26" s="77">
        <v>6</v>
      </c>
      <c r="AV26" s="77"/>
      <c r="AW26" s="75"/>
      <c r="AX26" s="75"/>
      <c r="AY26" s="83"/>
      <c r="AZ26" s="75"/>
      <c r="BA26" s="75"/>
      <c r="BB26" s="77"/>
      <c r="BC26" s="75"/>
      <c r="BD26" s="75"/>
      <c r="BE26" s="77">
        <v>7800</v>
      </c>
      <c r="BF26" s="75"/>
      <c r="BG26" s="75"/>
      <c r="BH26" s="77">
        <f>128000/AU26</f>
        <v>21333.333333333332</v>
      </c>
      <c r="BI26" s="77"/>
      <c r="BJ26" s="75"/>
      <c r="BK26" s="75"/>
      <c r="BL26" s="83"/>
      <c r="BM26" s="84"/>
      <c r="BN26" s="84"/>
      <c r="BO26" s="84"/>
      <c r="BP26" s="85"/>
      <c r="BQ26" s="86"/>
      <c r="BR26" s="86" t="str">
        <f t="shared" si="1"/>
        <v>usługowe</v>
      </c>
    </row>
    <row r="27" spans="1:70">
      <c r="A27" s="70" t="s">
        <v>77</v>
      </c>
      <c r="B27" s="70" t="s">
        <v>78</v>
      </c>
      <c r="C27" s="71">
        <v>5</v>
      </c>
      <c r="D27" s="71"/>
      <c r="E27" s="72" t="s">
        <v>45</v>
      </c>
      <c r="F27" s="72" t="s">
        <v>95</v>
      </c>
      <c r="G27" s="72"/>
      <c r="H27" s="72"/>
      <c r="I27" s="72"/>
      <c r="J27" s="73"/>
      <c r="K27" s="74">
        <v>250</v>
      </c>
      <c r="L27" s="75">
        <v>250</v>
      </c>
      <c r="M27" s="76"/>
      <c r="N27" s="77"/>
      <c r="O27" s="78" t="s">
        <v>74</v>
      </c>
      <c r="P27" s="79"/>
      <c r="Q27" s="80">
        <v>4</v>
      </c>
      <c r="R27" s="80"/>
      <c r="S27" s="80"/>
      <c r="T27" s="80"/>
      <c r="U27" s="80">
        <v>10</v>
      </c>
      <c r="V27" s="80"/>
      <c r="W27" s="80"/>
      <c r="X27" s="81"/>
      <c r="Y27" s="81"/>
      <c r="Z27" s="82"/>
      <c r="AA27" s="78" t="s">
        <v>74</v>
      </c>
      <c r="AB27" s="79"/>
      <c r="AC27" s="80">
        <v>4</v>
      </c>
      <c r="AD27" s="80"/>
      <c r="AE27" s="80"/>
      <c r="AF27" s="80"/>
      <c r="AG27" s="80">
        <v>10</v>
      </c>
      <c r="AH27" s="80"/>
      <c r="AI27" s="80"/>
      <c r="AJ27" s="81"/>
      <c r="AK27" s="81"/>
      <c r="AL27" s="82"/>
      <c r="AM27" s="75"/>
      <c r="AN27" s="75"/>
      <c r="AO27" s="77">
        <v>12</v>
      </c>
      <c r="AP27" s="74"/>
      <c r="AQ27" s="75"/>
      <c r="AR27" s="77"/>
      <c r="AS27" s="75"/>
      <c r="AT27" s="75"/>
      <c r="AU27" s="77">
        <v>6</v>
      </c>
      <c r="AV27" s="77" t="s">
        <v>96</v>
      </c>
      <c r="AW27" s="75"/>
      <c r="AX27" s="75"/>
      <c r="AY27" s="83">
        <v>7</v>
      </c>
      <c r="AZ27" s="75"/>
      <c r="BA27" s="75"/>
      <c r="BB27" s="77">
        <f>600000/AO27</f>
        <v>50000</v>
      </c>
      <c r="BC27" s="75"/>
      <c r="BD27" s="75"/>
      <c r="BE27" s="77">
        <f>500000/AU27</f>
        <v>83333.333333333328</v>
      </c>
      <c r="BF27" s="75"/>
      <c r="BG27" s="75"/>
      <c r="BH27" s="77"/>
      <c r="BI27" s="77"/>
      <c r="BJ27" s="75"/>
      <c r="BK27" s="75"/>
      <c r="BL27" s="83"/>
      <c r="BM27" s="84">
        <v>0.1</v>
      </c>
      <c r="BN27" s="84"/>
      <c r="BO27" s="84">
        <v>0.02</v>
      </c>
      <c r="BP27" s="85"/>
      <c r="BQ27" s="86"/>
      <c r="BR27" s="86" t="str">
        <f t="shared" si="1"/>
        <v>usługowe</v>
      </c>
    </row>
    <row r="28" spans="1:70">
      <c r="A28" s="70" t="s">
        <v>42</v>
      </c>
      <c r="B28" s="70" t="s">
        <v>65</v>
      </c>
      <c r="C28" s="71">
        <v>12</v>
      </c>
      <c r="D28" s="71" t="s">
        <v>44</v>
      </c>
      <c r="E28" s="72" t="s">
        <v>97</v>
      </c>
      <c r="F28" s="72"/>
      <c r="G28" s="72">
        <v>1</v>
      </c>
      <c r="H28" s="72"/>
      <c r="I28" s="72"/>
      <c r="J28" s="73"/>
      <c r="K28" s="74">
        <v>90</v>
      </c>
      <c r="L28" s="75">
        <v>80</v>
      </c>
      <c r="M28" s="76">
        <v>80</v>
      </c>
      <c r="N28" s="77">
        <v>3</v>
      </c>
      <c r="O28" s="78" t="s">
        <v>60</v>
      </c>
      <c r="P28" s="87"/>
      <c r="Q28" s="88">
        <v>5</v>
      </c>
      <c r="R28" s="88"/>
      <c r="S28" s="88"/>
      <c r="T28" s="88"/>
      <c r="U28" s="88"/>
      <c r="V28" s="88"/>
      <c r="W28" s="88"/>
      <c r="X28" s="89"/>
      <c r="Y28" s="89"/>
      <c r="Z28" s="82"/>
      <c r="AA28" s="78" t="s">
        <v>60</v>
      </c>
      <c r="AB28" s="87"/>
      <c r="AC28" s="88">
        <v>5</v>
      </c>
      <c r="AD28" s="88"/>
      <c r="AE28" s="88"/>
      <c r="AF28" s="88"/>
      <c r="AG28" s="88"/>
      <c r="AH28" s="88"/>
      <c r="AI28" s="88"/>
      <c r="AJ28" s="89"/>
      <c r="AK28" s="89"/>
      <c r="AL28" s="82"/>
      <c r="AM28" s="75">
        <v>1</v>
      </c>
      <c r="AN28" s="75"/>
      <c r="AO28" s="77"/>
      <c r="AP28" s="74"/>
      <c r="AQ28" s="75"/>
      <c r="AR28" s="77"/>
      <c r="AS28" s="75"/>
      <c r="AT28" s="75"/>
      <c r="AU28" s="77"/>
      <c r="AV28" s="77"/>
      <c r="AW28" s="75"/>
      <c r="AX28" s="75"/>
      <c r="AY28" s="83"/>
      <c r="AZ28" s="75">
        <v>30000</v>
      </c>
      <c r="BA28" s="75"/>
      <c r="BB28" s="77"/>
      <c r="BC28" s="75"/>
      <c r="BD28" s="75"/>
      <c r="BE28" s="77"/>
      <c r="BF28" s="75"/>
      <c r="BG28" s="75"/>
      <c r="BH28" s="77"/>
      <c r="BI28" s="77"/>
      <c r="BJ28" s="75"/>
      <c r="BK28" s="75"/>
      <c r="BL28" s="83"/>
      <c r="BM28" s="84">
        <v>0.5</v>
      </c>
      <c r="BN28" s="84"/>
      <c r="BO28" s="84"/>
      <c r="BP28" s="85"/>
      <c r="BQ28" s="86"/>
      <c r="BR28" s="86"/>
    </row>
    <row r="29" spans="1:70">
      <c r="A29" s="70"/>
      <c r="B29" s="70"/>
      <c r="C29" s="71"/>
      <c r="D29" s="71" t="s">
        <v>44</v>
      </c>
      <c r="E29" s="72" t="s">
        <v>97</v>
      </c>
      <c r="F29" s="72"/>
      <c r="G29" s="72"/>
      <c r="H29" s="72"/>
      <c r="I29" s="72">
        <v>1</v>
      </c>
      <c r="J29" s="73"/>
      <c r="K29" s="74">
        <v>160</v>
      </c>
      <c r="L29" s="75">
        <v>160</v>
      </c>
      <c r="M29" s="76">
        <v>75</v>
      </c>
      <c r="N29" s="77">
        <v>8</v>
      </c>
      <c r="O29" s="78" t="s">
        <v>74</v>
      </c>
      <c r="P29" s="87"/>
      <c r="Q29" s="88">
        <v>6</v>
      </c>
      <c r="R29" s="88"/>
      <c r="S29" s="88"/>
      <c r="T29" s="88"/>
      <c r="U29" s="88"/>
      <c r="V29" s="88"/>
      <c r="W29" s="88"/>
      <c r="X29" s="89"/>
      <c r="Y29" s="89"/>
      <c r="Z29" s="82"/>
      <c r="AA29" s="78" t="s">
        <v>74</v>
      </c>
      <c r="AB29" s="87"/>
      <c r="AC29" s="88">
        <v>6</v>
      </c>
      <c r="AD29" s="88"/>
      <c r="AE29" s="88"/>
      <c r="AF29" s="88"/>
      <c r="AG29" s="88"/>
      <c r="AH29" s="88"/>
      <c r="AI29" s="88"/>
      <c r="AJ29" s="89"/>
      <c r="AK29" s="89"/>
      <c r="AL29" s="82"/>
      <c r="AM29" s="75">
        <v>1</v>
      </c>
      <c r="AN29" s="75"/>
      <c r="AO29" s="77">
        <v>2</v>
      </c>
      <c r="AP29" s="74"/>
      <c r="AQ29" s="75"/>
      <c r="AR29" s="77"/>
      <c r="AS29" s="75"/>
      <c r="AT29" s="75"/>
      <c r="AU29" s="77"/>
      <c r="AV29" s="77"/>
      <c r="AW29" s="75"/>
      <c r="AX29" s="75"/>
      <c r="AY29" s="83"/>
      <c r="AZ29" s="75">
        <v>5000</v>
      </c>
      <c r="BA29" s="75"/>
      <c r="BB29" s="77">
        <v>10000</v>
      </c>
      <c r="BC29" s="75"/>
      <c r="BD29" s="75"/>
      <c r="BE29" s="77"/>
      <c r="BF29" s="75"/>
      <c r="BG29" s="75"/>
      <c r="BH29" s="77"/>
      <c r="BI29" s="77"/>
      <c r="BJ29" s="75"/>
      <c r="BK29" s="75"/>
      <c r="BL29" s="83"/>
      <c r="BM29" s="84">
        <v>0.25</v>
      </c>
      <c r="BN29" s="84"/>
      <c r="BO29" s="84"/>
      <c r="BP29" s="85"/>
      <c r="BQ29" s="86"/>
      <c r="BR29" s="86"/>
    </row>
    <row r="30" spans="1:70">
      <c r="A30" s="70" t="s">
        <v>42</v>
      </c>
      <c r="B30" s="70" t="s">
        <v>98</v>
      </c>
      <c r="C30" s="71"/>
      <c r="D30" s="71"/>
      <c r="E30" s="72" t="s">
        <v>97</v>
      </c>
      <c r="F30" s="72"/>
      <c r="G30" s="72">
        <v>1</v>
      </c>
      <c r="H30" s="72"/>
      <c r="I30" s="72"/>
      <c r="J30" s="73"/>
      <c r="K30" s="74">
        <v>210</v>
      </c>
      <c r="L30" s="75">
        <v>110</v>
      </c>
      <c r="M30" s="76">
        <v>50</v>
      </c>
      <c r="N30" s="77">
        <v>6</v>
      </c>
      <c r="O30" s="78" t="s">
        <v>60</v>
      </c>
      <c r="P30" s="87"/>
      <c r="Q30" s="88">
        <v>6.5</v>
      </c>
      <c r="R30" s="88"/>
      <c r="S30" s="88"/>
      <c r="T30" s="88">
        <v>4</v>
      </c>
      <c r="U30" s="88"/>
      <c r="V30" s="88"/>
      <c r="W30" s="88"/>
      <c r="X30" s="89">
        <v>44</v>
      </c>
      <c r="Y30" s="89"/>
      <c r="Z30" s="82">
        <v>4358</v>
      </c>
      <c r="AA30" s="78" t="s">
        <v>60</v>
      </c>
      <c r="AB30" s="87"/>
      <c r="AC30" s="88">
        <v>5</v>
      </c>
      <c r="AD30" s="88"/>
      <c r="AE30" s="88"/>
      <c r="AF30" s="88">
        <v>3</v>
      </c>
      <c r="AG30" s="88"/>
      <c r="AH30" s="88"/>
      <c r="AI30" s="88"/>
      <c r="AJ30" s="89">
        <v>44</v>
      </c>
      <c r="AK30" s="89"/>
      <c r="AL30" s="82">
        <v>4450</v>
      </c>
      <c r="AM30" s="75"/>
      <c r="AN30" s="75">
        <v>1</v>
      </c>
      <c r="AO30" s="77">
        <v>3</v>
      </c>
      <c r="AP30" s="74"/>
      <c r="AQ30" s="75"/>
      <c r="AR30" s="77"/>
      <c r="AS30" s="75"/>
      <c r="AT30" s="75"/>
      <c r="AU30" s="77"/>
      <c r="AV30" s="77"/>
      <c r="AW30" s="75"/>
      <c r="AX30" s="75"/>
      <c r="AY30" s="83"/>
      <c r="AZ30" s="75"/>
      <c r="BA30" s="75"/>
      <c r="BB30" s="77">
        <f>(3400+6500+1000)/AO30</f>
        <v>3633.3333333333335</v>
      </c>
      <c r="BC30" s="75"/>
      <c r="BD30" s="75"/>
      <c r="BE30" s="77"/>
      <c r="BF30" s="75"/>
      <c r="BG30" s="75"/>
      <c r="BH30" s="77"/>
      <c r="BI30" s="77"/>
      <c r="BJ30" s="75"/>
      <c r="BK30" s="75"/>
      <c r="BL30" s="83"/>
      <c r="BM30" s="84">
        <v>0.7</v>
      </c>
      <c r="BN30" s="84"/>
      <c r="BO30" s="84"/>
      <c r="BP30" s="85"/>
      <c r="BQ30" s="86"/>
      <c r="BR30" s="86"/>
    </row>
    <row r="31" spans="1:70">
      <c r="A31" s="70" t="s">
        <v>42</v>
      </c>
      <c r="B31" s="70" t="s">
        <v>99</v>
      </c>
      <c r="C31" s="71"/>
      <c r="D31" s="71"/>
      <c r="E31" s="72" t="s">
        <v>97</v>
      </c>
      <c r="F31" s="72"/>
      <c r="G31" s="72">
        <v>1</v>
      </c>
      <c r="H31" s="72"/>
      <c r="I31" s="72"/>
      <c r="J31" s="73"/>
      <c r="K31" s="74">
        <v>400</v>
      </c>
      <c r="L31" s="75">
        <v>240</v>
      </c>
      <c r="M31" s="76">
        <v>90</v>
      </c>
      <c r="N31" s="77">
        <v>4</v>
      </c>
      <c r="O31" s="78" t="s">
        <v>60</v>
      </c>
      <c r="P31" s="87"/>
      <c r="Q31" s="88">
        <f>3+12</f>
        <v>15</v>
      </c>
      <c r="R31" s="88"/>
      <c r="S31" s="88"/>
      <c r="T31" s="88">
        <v>5</v>
      </c>
      <c r="U31" s="88"/>
      <c r="V31" s="88"/>
      <c r="W31" s="88"/>
      <c r="X31" s="89">
        <v>66</v>
      </c>
      <c r="Y31" s="89"/>
      <c r="Z31" s="82"/>
      <c r="AA31" s="78" t="s">
        <v>60</v>
      </c>
      <c r="AB31" s="87"/>
      <c r="AC31" s="88">
        <f>3+11</f>
        <v>14</v>
      </c>
      <c r="AD31" s="88"/>
      <c r="AE31" s="88"/>
      <c r="AF31" s="88">
        <v>4</v>
      </c>
      <c r="AG31" s="88"/>
      <c r="AH31" s="88"/>
      <c r="AI31" s="88"/>
      <c r="AJ31" s="89">
        <v>77</v>
      </c>
      <c r="AK31" s="89"/>
      <c r="AL31" s="82"/>
      <c r="AM31" s="75"/>
      <c r="AN31" s="75"/>
      <c r="AO31" s="77"/>
      <c r="AP31" s="74"/>
      <c r="AQ31" s="75"/>
      <c r="AR31" s="77"/>
      <c r="AS31" s="75"/>
      <c r="AT31" s="75"/>
      <c r="AU31" s="77"/>
      <c r="AV31" s="77"/>
      <c r="AW31" s="75"/>
      <c r="AX31" s="75"/>
      <c r="AY31" s="83"/>
      <c r="AZ31" s="75"/>
      <c r="BA31" s="75"/>
      <c r="BB31" s="77"/>
      <c r="BC31" s="75"/>
      <c r="BD31" s="75"/>
      <c r="BE31" s="77"/>
      <c r="BF31" s="75"/>
      <c r="BG31" s="75"/>
      <c r="BH31" s="77"/>
      <c r="BI31" s="77"/>
      <c r="BJ31" s="75"/>
      <c r="BK31" s="75"/>
      <c r="BL31" s="83"/>
      <c r="BM31" s="84"/>
      <c r="BN31" s="84"/>
      <c r="BO31" s="84"/>
      <c r="BP31" s="85"/>
      <c r="BQ31" s="86"/>
      <c r="BR31" s="86"/>
    </row>
    <row r="32" spans="1:70">
      <c r="A32" s="70" t="s">
        <v>42</v>
      </c>
      <c r="B32" s="70" t="s">
        <v>53</v>
      </c>
      <c r="C32" s="71"/>
      <c r="D32" s="71"/>
      <c r="E32" s="72" t="s">
        <v>97</v>
      </c>
      <c r="F32" s="72"/>
      <c r="G32" s="72">
        <v>1</v>
      </c>
      <c r="H32" s="72"/>
      <c r="I32" s="72"/>
      <c r="J32" s="73"/>
      <c r="K32" s="74">
        <v>160</v>
      </c>
      <c r="L32" s="75">
        <v>160</v>
      </c>
      <c r="M32" s="76">
        <v>4</v>
      </c>
      <c r="N32" s="77">
        <v>3</v>
      </c>
      <c r="O32" s="78"/>
      <c r="P32" s="87"/>
      <c r="Q32" s="88"/>
      <c r="R32" s="88"/>
      <c r="S32" s="88"/>
      <c r="T32" s="88"/>
      <c r="U32" s="88"/>
      <c r="V32" s="88"/>
      <c r="W32" s="88"/>
      <c r="X32" s="89"/>
      <c r="Y32" s="89"/>
      <c r="Z32" s="82"/>
      <c r="AA32" s="78" t="s">
        <v>100</v>
      </c>
      <c r="AB32" s="87"/>
      <c r="AC32" s="88"/>
      <c r="AD32" s="88">
        <v>1.8</v>
      </c>
      <c r="AE32" s="88">
        <v>6</v>
      </c>
      <c r="AF32" s="88"/>
      <c r="AG32" s="88"/>
      <c r="AH32" s="88"/>
      <c r="AI32" s="88"/>
      <c r="AJ32" s="89"/>
      <c r="AK32" s="89"/>
      <c r="AL32" s="82">
        <v>3300</v>
      </c>
      <c r="AM32" s="75">
        <v>1</v>
      </c>
      <c r="AN32" s="75"/>
      <c r="AO32" s="77">
        <v>1</v>
      </c>
      <c r="AP32" s="74"/>
      <c r="AQ32" s="75"/>
      <c r="AR32" s="77"/>
      <c r="AS32" s="75"/>
      <c r="AT32" s="75"/>
      <c r="AU32" s="77"/>
      <c r="AV32" s="77"/>
      <c r="AW32" s="75"/>
      <c r="AX32" s="75"/>
      <c r="AY32" s="83"/>
      <c r="AZ32" s="75">
        <v>10000</v>
      </c>
      <c r="BA32" s="75"/>
      <c r="BB32" s="77">
        <v>7000</v>
      </c>
      <c r="BC32" s="75"/>
      <c r="BD32" s="75"/>
      <c r="BE32" s="77"/>
      <c r="BF32" s="75"/>
      <c r="BG32" s="75"/>
      <c r="BH32" s="77"/>
      <c r="BI32" s="77"/>
      <c r="BJ32" s="75"/>
      <c r="BK32" s="75"/>
      <c r="BL32" s="83"/>
      <c r="BM32" s="84">
        <v>0.45</v>
      </c>
      <c r="BN32" s="84"/>
      <c r="BO32" s="84"/>
      <c r="BP32" s="85"/>
      <c r="BQ32" s="86"/>
      <c r="BR32" s="86"/>
    </row>
    <row r="33" spans="1:70">
      <c r="A33" s="70" t="s">
        <v>42</v>
      </c>
      <c r="B33" s="70" t="s">
        <v>101</v>
      </c>
      <c r="C33" s="71">
        <v>19</v>
      </c>
      <c r="D33" s="71"/>
      <c r="E33" s="72" t="s">
        <v>97</v>
      </c>
      <c r="F33" s="72"/>
      <c r="G33" s="72">
        <v>1</v>
      </c>
      <c r="H33" s="72"/>
      <c r="I33" s="72"/>
      <c r="J33" s="73"/>
      <c r="K33" s="74">
        <v>120</v>
      </c>
      <c r="L33" s="75">
        <v>120</v>
      </c>
      <c r="M33" s="76">
        <v>60</v>
      </c>
      <c r="N33" s="77">
        <v>4</v>
      </c>
      <c r="O33" s="78"/>
      <c r="P33" s="87"/>
      <c r="Q33" s="88"/>
      <c r="R33" s="88"/>
      <c r="S33" s="88"/>
      <c r="T33" s="88"/>
      <c r="U33" s="88"/>
      <c r="V33" s="88"/>
      <c r="W33" s="88"/>
      <c r="X33" s="89"/>
      <c r="Y33" s="89"/>
      <c r="Z33" s="82">
        <v>4180</v>
      </c>
      <c r="AA33" s="78" t="s">
        <v>60</v>
      </c>
      <c r="AB33" s="87"/>
      <c r="AC33" s="88">
        <f>4.5+8</f>
        <v>12.5</v>
      </c>
      <c r="AD33" s="88"/>
      <c r="AE33" s="88"/>
      <c r="AF33" s="88"/>
      <c r="AG33" s="88"/>
      <c r="AH33" s="88"/>
      <c r="AI33" s="88"/>
      <c r="AJ33" s="89"/>
      <c r="AK33" s="89"/>
      <c r="AL33" s="82">
        <v>4000</v>
      </c>
      <c r="AM33" s="75">
        <v>1</v>
      </c>
      <c r="AN33" s="75"/>
      <c r="AO33" s="77">
        <v>2</v>
      </c>
      <c r="AP33" s="74"/>
      <c r="AQ33" s="75"/>
      <c r="AR33" s="77"/>
      <c r="AS33" s="75"/>
      <c r="AT33" s="75"/>
      <c r="AU33" s="77"/>
      <c r="AV33" s="77"/>
      <c r="AW33" s="75"/>
      <c r="AX33" s="75"/>
      <c r="AY33" s="83"/>
      <c r="AZ33" s="75">
        <v>4000</v>
      </c>
      <c r="BA33" s="75"/>
      <c r="BB33" s="77">
        <f>25000/AO33</f>
        <v>12500</v>
      </c>
      <c r="BC33" s="75"/>
      <c r="BD33" s="75"/>
      <c r="BE33" s="77"/>
      <c r="BF33" s="75"/>
      <c r="BG33" s="75"/>
      <c r="BH33" s="77"/>
      <c r="BI33" s="77"/>
      <c r="BJ33" s="75"/>
      <c r="BK33" s="75"/>
      <c r="BL33" s="83"/>
      <c r="BM33" s="84">
        <v>0.73</v>
      </c>
      <c r="BN33" s="84"/>
      <c r="BO33" s="84"/>
      <c r="BP33" s="85"/>
      <c r="BQ33" s="86"/>
      <c r="BR33" s="86"/>
    </row>
    <row r="34" spans="1:70">
      <c r="A34" s="70" t="s">
        <v>42</v>
      </c>
      <c r="B34" s="70" t="s">
        <v>75</v>
      </c>
      <c r="C34" s="71">
        <v>12</v>
      </c>
      <c r="D34" s="71" t="s">
        <v>44</v>
      </c>
      <c r="E34" s="72" t="s">
        <v>97</v>
      </c>
      <c r="F34" s="72"/>
      <c r="G34" s="72">
        <v>1</v>
      </c>
      <c r="H34" s="72"/>
      <c r="I34" s="72"/>
      <c r="J34" s="73"/>
      <c r="K34" s="74">
        <v>170</v>
      </c>
      <c r="L34" s="75">
        <v>170</v>
      </c>
      <c r="M34" s="76">
        <v>70</v>
      </c>
      <c r="N34" s="77">
        <v>6</v>
      </c>
      <c r="O34" s="78" t="s">
        <v>60</v>
      </c>
      <c r="P34" s="87"/>
      <c r="Q34" s="88">
        <v>10</v>
      </c>
      <c r="R34" s="88"/>
      <c r="S34" s="88"/>
      <c r="T34" s="88"/>
      <c r="U34" s="88"/>
      <c r="V34" s="88"/>
      <c r="W34" s="88"/>
      <c r="X34" s="89"/>
      <c r="Y34" s="89"/>
      <c r="Z34" s="82"/>
      <c r="AA34" s="78" t="s">
        <v>60</v>
      </c>
      <c r="AB34" s="87"/>
      <c r="AC34" s="88">
        <v>10</v>
      </c>
      <c r="AD34" s="88"/>
      <c r="AE34" s="88"/>
      <c r="AF34" s="88"/>
      <c r="AG34" s="88"/>
      <c r="AH34" s="88"/>
      <c r="AI34" s="88"/>
      <c r="AJ34" s="89"/>
      <c r="AK34" s="89"/>
      <c r="AL34" s="82"/>
      <c r="AM34" s="75">
        <v>1</v>
      </c>
      <c r="AN34" s="75"/>
      <c r="AO34" s="77"/>
      <c r="AP34" s="74"/>
      <c r="AQ34" s="75"/>
      <c r="AR34" s="77"/>
      <c r="AS34" s="75"/>
      <c r="AT34" s="75"/>
      <c r="AU34" s="77"/>
      <c r="AV34" s="77"/>
      <c r="AW34" s="75"/>
      <c r="AX34" s="75"/>
      <c r="AY34" s="83"/>
      <c r="AZ34" s="75">
        <v>5600</v>
      </c>
      <c r="BA34" s="75"/>
      <c r="BB34" s="77"/>
      <c r="BC34" s="75"/>
      <c r="BD34" s="75"/>
      <c r="BE34" s="77"/>
      <c r="BF34" s="75"/>
      <c r="BG34" s="75"/>
      <c r="BH34" s="77"/>
      <c r="BI34" s="77"/>
      <c r="BJ34" s="75"/>
      <c r="BK34" s="75"/>
      <c r="BL34" s="83"/>
      <c r="BM34" s="84">
        <v>0.75</v>
      </c>
      <c r="BN34" s="84"/>
      <c r="BO34" s="84"/>
      <c r="BP34" s="85"/>
      <c r="BQ34" s="86"/>
      <c r="BR34" s="86"/>
    </row>
    <row r="35" spans="1:70">
      <c r="A35" s="70" t="s">
        <v>42</v>
      </c>
      <c r="B35" s="70" t="s">
        <v>101</v>
      </c>
      <c r="C35" s="71">
        <v>21</v>
      </c>
      <c r="D35" s="71" t="s">
        <v>44</v>
      </c>
      <c r="E35" s="72" t="s">
        <v>97</v>
      </c>
      <c r="F35" s="72"/>
      <c r="G35" s="72">
        <v>1</v>
      </c>
      <c r="H35" s="72"/>
      <c r="I35" s="72"/>
      <c r="J35" s="73"/>
      <c r="K35" s="74">
        <v>110</v>
      </c>
      <c r="L35" s="75">
        <v>80</v>
      </c>
      <c r="M35" s="76"/>
      <c r="N35" s="77"/>
      <c r="O35" s="78" t="s">
        <v>60</v>
      </c>
      <c r="P35" s="87"/>
      <c r="Q35" s="88">
        <v>10</v>
      </c>
      <c r="R35" s="88"/>
      <c r="S35" s="88"/>
      <c r="T35" s="88"/>
      <c r="U35" s="88"/>
      <c r="V35" s="88"/>
      <c r="W35" s="88"/>
      <c r="X35" s="89"/>
      <c r="Y35" s="89"/>
      <c r="Z35" s="82"/>
      <c r="AA35" s="78" t="s">
        <v>102</v>
      </c>
      <c r="AB35" s="87"/>
      <c r="AC35" s="88"/>
      <c r="AD35" s="88">
        <v>8</v>
      </c>
      <c r="AE35" s="88"/>
      <c r="AF35" s="88"/>
      <c r="AG35" s="88"/>
      <c r="AH35" s="88"/>
      <c r="AI35" s="88"/>
      <c r="AJ35" s="89"/>
      <c r="AK35" s="89"/>
      <c r="AL35" s="82"/>
      <c r="AM35" s="75">
        <v>1</v>
      </c>
      <c r="AN35" s="75"/>
      <c r="AO35" s="77"/>
      <c r="AP35" s="74"/>
      <c r="AQ35" s="75"/>
      <c r="AR35" s="77"/>
      <c r="AS35" s="75"/>
      <c r="AT35" s="75"/>
      <c r="AU35" s="77"/>
      <c r="AV35" s="77"/>
      <c r="AW35" s="75"/>
      <c r="AX35" s="75"/>
      <c r="AY35" s="83"/>
      <c r="AZ35" s="75">
        <v>2000</v>
      </c>
      <c r="BA35" s="75"/>
      <c r="BB35" s="77"/>
      <c r="BC35" s="75"/>
      <c r="BD35" s="75"/>
      <c r="BE35" s="77"/>
      <c r="BF35" s="75"/>
      <c r="BG35" s="75"/>
      <c r="BH35" s="77"/>
      <c r="BI35" s="77"/>
      <c r="BJ35" s="75"/>
      <c r="BK35" s="75"/>
      <c r="BL35" s="83"/>
      <c r="BM35" s="84">
        <v>0.8</v>
      </c>
      <c r="BN35" s="84"/>
      <c r="BO35" s="84"/>
      <c r="BP35" s="85"/>
      <c r="BQ35" s="86"/>
      <c r="BR35" s="86"/>
    </row>
    <row r="36" spans="1:70">
      <c r="A36" s="70" t="s">
        <v>42</v>
      </c>
      <c r="B36" s="70" t="s">
        <v>53</v>
      </c>
      <c r="C36" s="71">
        <v>51</v>
      </c>
      <c r="D36" s="71" t="s">
        <v>44</v>
      </c>
      <c r="E36" s="72" t="s">
        <v>97</v>
      </c>
      <c r="F36" s="72"/>
      <c r="G36" s="72">
        <v>1</v>
      </c>
      <c r="H36" s="72"/>
      <c r="I36" s="72"/>
      <c r="J36" s="73"/>
      <c r="K36" s="74">
        <v>80</v>
      </c>
      <c r="L36" s="75">
        <v>80</v>
      </c>
      <c r="M36" s="76">
        <v>50</v>
      </c>
      <c r="N36" s="77">
        <v>6</v>
      </c>
      <c r="O36" s="78" t="s">
        <v>60</v>
      </c>
      <c r="P36" s="87"/>
      <c r="Q36" s="88">
        <v>7</v>
      </c>
      <c r="R36" s="88"/>
      <c r="S36" s="88">
        <v>16</v>
      </c>
      <c r="T36" s="88"/>
      <c r="U36" s="88"/>
      <c r="V36" s="88"/>
      <c r="W36" s="88"/>
      <c r="X36" s="89"/>
      <c r="Y36" s="89"/>
      <c r="Z36" s="82"/>
      <c r="AA36" s="78" t="s">
        <v>60</v>
      </c>
      <c r="AB36" s="87"/>
      <c r="AC36" s="88">
        <v>5</v>
      </c>
      <c r="AD36" s="88"/>
      <c r="AE36" s="88">
        <v>10</v>
      </c>
      <c r="AF36" s="88"/>
      <c r="AG36" s="88"/>
      <c r="AH36" s="88"/>
      <c r="AI36" s="88"/>
      <c r="AJ36" s="89"/>
      <c r="AK36" s="89"/>
      <c r="AL36" s="82"/>
      <c r="AM36" s="75">
        <v>1</v>
      </c>
      <c r="AN36" s="75"/>
      <c r="AO36" s="77">
        <v>1</v>
      </c>
      <c r="AP36" s="74"/>
      <c r="AQ36" s="75"/>
      <c r="AR36" s="77"/>
      <c r="AS36" s="75"/>
      <c r="AT36" s="75"/>
      <c r="AU36" s="77"/>
      <c r="AV36" s="77"/>
      <c r="AW36" s="75"/>
      <c r="AX36" s="75"/>
      <c r="AY36" s="83"/>
      <c r="AZ36" s="75">
        <v>100000</v>
      </c>
      <c r="BA36" s="75"/>
      <c r="BB36" s="77">
        <v>200000</v>
      </c>
      <c r="BC36" s="75"/>
      <c r="BD36" s="75"/>
      <c r="BE36" s="77"/>
      <c r="BF36" s="75"/>
      <c r="BG36" s="75"/>
      <c r="BH36" s="77"/>
      <c r="BI36" s="77"/>
      <c r="BJ36" s="75"/>
      <c r="BK36" s="75"/>
      <c r="BL36" s="83"/>
      <c r="BM36" s="84">
        <v>0.75</v>
      </c>
      <c r="BN36" s="84"/>
      <c r="BO36" s="84"/>
      <c r="BP36" s="85"/>
      <c r="BQ36" s="86"/>
      <c r="BR36" s="86"/>
    </row>
    <row r="37" spans="1:70">
      <c r="A37" s="70"/>
      <c r="B37" s="70" t="s">
        <v>103</v>
      </c>
      <c r="C37" s="71">
        <v>4</v>
      </c>
      <c r="D37" s="71" t="s">
        <v>44</v>
      </c>
      <c r="E37" s="72" t="s">
        <v>97</v>
      </c>
      <c r="F37" s="72"/>
      <c r="G37" s="72">
        <v>1</v>
      </c>
      <c r="H37" s="72"/>
      <c r="I37" s="72"/>
      <c r="J37" s="73"/>
      <c r="K37" s="74">
        <v>120</v>
      </c>
      <c r="L37" s="75">
        <v>120</v>
      </c>
      <c r="M37" s="76">
        <v>70</v>
      </c>
      <c r="N37" s="77">
        <v>2</v>
      </c>
      <c r="O37" s="78" t="s">
        <v>60</v>
      </c>
      <c r="P37" s="87"/>
      <c r="Q37" s="88">
        <v>5</v>
      </c>
      <c r="R37" s="88"/>
      <c r="S37" s="88"/>
      <c r="T37" s="88"/>
      <c r="U37" s="88"/>
      <c r="V37" s="88"/>
      <c r="W37" s="88"/>
      <c r="X37" s="89"/>
      <c r="Y37" s="89"/>
      <c r="Z37" s="82"/>
      <c r="AA37" s="78" t="s">
        <v>60</v>
      </c>
      <c r="AB37" s="87"/>
      <c r="AC37" s="88">
        <v>5</v>
      </c>
      <c r="AD37" s="88"/>
      <c r="AE37" s="88"/>
      <c r="AF37" s="88"/>
      <c r="AG37" s="88"/>
      <c r="AH37" s="88"/>
      <c r="AI37" s="88"/>
      <c r="AJ37" s="89"/>
      <c r="AK37" s="89"/>
      <c r="AL37" s="82"/>
      <c r="AM37" s="75">
        <v>1</v>
      </c>
      <c r="AN37" s="75"/>
      <c r="AO37" s="77">
        <v>1</v>
      </c>
      <c r="AP37" s="74"/>
      <c r="AQ37" s="75"/>
      <c r="AR37" s="77"/>
      <c r="AS37" s="75"/>
      <c r="AT37" s="75"/>
      <c r="AU37" s="77"/>
      <c r="AV37" s="77"/>
      <c r="AW37" s="75"/>
      <c r="AX37" s="75"/>
      <c r="AY37" s="83"/>
      <c r="AZ37" s="75">
        <v>6000</v>
      </c>
      <c r="BA37" s="75"/>
      <c r="BB37" s="77">
        <v>7000</v>
      </c>
      <c r="BC37" s="75"/>
      <c r="BD37" s="75"/>
      <c r="BE37" s="77"/>
      <c r="BF37" s="75"/>
      <c r="BG37" s="75"/>
      <c r="BH37" s="77"/>
      <c r="BI37" s="77"/>
      <c r="BJ37" s="75"/>
      <c r="BK37" s="75"/>
      <c r="BL37" s="83"/>
      <c r="BM37" s="84">
        <v>0.75</v>
      </c>
      <c r="BN37" s="84"/>
      <c r="BO37" s="84"/>
      <c r="BP37" s="85"/>
      <c r="BQ37" s="86"/>
      <c r="BR37" s="86"/>
    </row>
    <row r="38" spans="1:70">
      <c r="A38" s="70" t="s">
        <v>42</v>
      </c>
      <c r="B38" s="70" t="s">
        <v>104</v>
      </c>
      <c r="C38" s="71">
        <v>2</v>
      </c>
      <c r="D38" s="71" t="s">
        <v>44</v>
      </c>
      <c r="E38" s="72" t="s">
        <v>97</v>
      </c>
      <c r="F38" s="72"/>
      <c r="G38" s="72">
        <v>1</v>
      </c>
      <c r="H38" s="72"/>
      <c r="I38" s="72"/>
      <c r="J38" s="73"/>
      <c r="K38" s="74"/>
      <c r="L38" s="75">
        <v>150</v>
      </c>
      <c r="M38" s="76">
        <v>40</v>
      </c>
      <c r="N38" s="77">
        <v>6</v>
      </c>
      <c r="O38" s="78" t="s">
        <v>60</v>
      </c>
      <c r="P38" s="87"/>
      <c r="Q38" s="88">
        <v>10</v>
      </c>
      <c r="R38" s="88"/>
      <c r="S38" s="88"/>
      <c r="T38" s="88"/>
      <c r="U38" s="88"/>
      <c r="V38" s="88"/>
      <c r="W38" s="88"/>
      <c r="X38" s="89"/>
      <c r="Y38" s="89"/>
      <c r="Z38" s="82"/>
      <c r="AA38" s="78" t="s">
        <v>60</v>
      </c>
      <c r="AB38" s="87"/>
      <c r="AC38" s="88">
        <v>10</v>
      </c>
      <c r="AD38" s="88"/>
      <c r="AE38" s="88"/>
      <c r="AF38" s="88"/>
      <c r="AG38" s="88"/>
      <c r="AH38" s="88"/>
      <c r="AI38" s="88"/>
      <c r="AJ38" s="89"/>
      <c r="AK38" s="89"/>
      <c r="AL38" s="82"/>
      <c r="AM38" s="75">
        <v>1</v>
      </c>
      <c r="AN38" s="75"/>
      <c r="AO38" s="77"/>
      <c r="AP38" s="74"/>
      <c r="AQ38" s="75"/>
      <c r="AR38" s="77"/>
      <c r="AS38" s="75"/>
      <c r="AT38" s="75"/>
      <c r="AU38" s="77"/>
      <c r="AV38" s="77"/>
      <c r="AW38" s="75"/>
      <c r="AX38" s="75"/>
      <c r="AY38" s="83"/>
      <c r="AZ38" s="75">
        <v>10000</v>
      </c>
      <c r="BA38" s="75"/>
      <c r="BB38" s="77"/>
      <c r="BC38" s="75"/>
      <c r="BD38" s="75"/>
      <c r="BE38" s="77"/>
      <c r="BF38" s="75"/>
      <c r="BG38" s="75"/>
      <c r="BH38" s="77"/>
      <c r="BI38" s="77"/>
      <c r="BJ38" s="75"/>
      <c r="BK38" s="75"/>
      <c r="BL38" s="83"/>
      <c r="BM38" s="84">
        <v>0.5</v>
      </c>
      <c r="BN38" s="84"/>
      <c r="BO38" s="84"/>
      <c r="BP38" s="85"/>
      <c r="BQ38" s="86"/>
      <c r="BR38" s="86"/>
    </row>
    <row r="39" spans="1:70">
      <c r="A39" s="70" t="s">
        <v>42</v>
      </c>
      <c r="B39" s="70" t="s">
        <v>104</v>
      </c>
      <c r="C39" s="71">
        <v>5</v>
      </c>
      <c r="D39" s="71" t="s">
        <v>44</v>
      </c>
      <c r="E39" s="72" t="s">
        <v>97</v>
      </c>
      <c r="F39" s="72"/>
      <c r="G39" s="72">
        <v>1</v>
      </c>
      <c r="H39" s="72"/>
      <c r="I39" s="72"/>
      <c r="J39" s="73"/>
      <c r="K39" s="74">
        <v>220</v>
      </c>
      <c r="L39" s="75">
        <v>220</v>
      </c>
      <c r="M39" s="76">
        <v>22</v>
      </c>
      <c r="N39" s="77">
        <v>3</v>
      </c>
      <c r="O39" s="78" t="s">
        <v>74</v>
      </c>
      <c r="P39" s="87"/>
      <c r="Q39" s="88">
        <v>10</v>
      </c>
      <c r="R39" s="88"/>
      <c r="S39" s="88"/>
      <c r="T39" s="88"/>
      <c r="U39" s="88"/>
      <c r="V39" s="88"/>
      <c r="W39" s="88"/>
      <c r="X39" s="89"/>
      <c r="Y39" s="89"/>
      <c r="Z39" s="82"/>
      <c r="AA39" s="78" t="s">
        <v>74</v>
      </c>
      <c r="AB39" s="87"/>
      <c r="AC39" s="88">
        <v>10</v>
      </c>
      <c r="AD39" s="88"/>
      <c r="AE39" s="88"/>
      <c r="AF39" s="88"/>
      <c r="AG39" s="88"/>
      <c r="AH39" s="88"/>
      <c r="AI39" s="88"/>
      <c r="AJ39" s="89"/>
      <c r="AK39" s="89"/>
      <c r="AL39" s="82"/>
      <c r="AM39" s="75">
        <v>1</v>
      </c>
      <c r="AN39" s="75"/>
      <c r="AO39" s="77"/>
      <c r="AP39" s="74"/>
      <c r="AQ39" s="75"/>
      <c r="AR39" s="77"/>
      <c r="AS39" s="75"/>
      <c r="AT39" s="75"/>
      <c r="AU39" s="77"/>
      <c r="AV39" s="77"/>
      <c r="AW39" s="75"/>
      <c r="AX39" s="75"/>
      <c r="AY39" s="83"/>
      <c r="AZ39" s="75">
        <v>20000</v>
      </c>
      <c r="BA39" s="75"/>
      <c r="BB39" s="77"/>
      <c r="BC39" s="75"/>
      <c r="BD39" s="75"/>
      <c r="BE39" s="77"/>
      <c r="BF39" s="75"/>
      <c r="BG39" s="75"/>
      <c r="BH39" s="77"/>
      <c r="BI39" s="77"/>
      <c r="BJ39" s="75"/>
      <c r="BK39" s="75"/>
      <c r="BL39" s="83"/>
      <c r="BM39" s="84">
        <v>0.75</v>
      </c>
      <c r="BN39" s="84"/>
      <c r="BO39" s="84"/>
      <c r="BP39" s="85"/>
      <c r="BQ39" s="86"/>
      <c r="BR39" s="86"/>
    </row>
    <row r="40" spans="1:70">
      <c r="A40" s="70" t="s">
        <v>42</v>
      </c>
      <c r="B40" s="70" t="s">
        <v>43</v>
      </c>
      <c r="C40" s="71">
        <v>4</v>
      </c>
      <c r="D40" s="71" t="s">
        <v>44</v>
      </c>
      <c r="E40" s="72" t="s">
        <v>97</v>
      </c>
      <c r="F40" s="72"/>
      <c r="G40" s="72">
        <v>1</v>
      </c>
      <c r="H40" s="72"/>
      <c r="I40" s="72"/>
      <c r="J40" s="73"/>
      <c r="K40" s="74">
        <v>240</v>
      </c>
      <c r="L40" s="75">
        <v>240</v>
      </c>
      <c r="M40" s="76">
        <v>49</v>
      </c>
      <c r="N40" s="77">
        <v>9</v>
      </c>
      <c r="O40" s="78" t="s">
        <v>74</v>
      </c>
      <c r="P40" s="87"/>
      <c r="Q40" s="88">
        <v>12</v>
      </c>
      <c r="R40" s="88"/>
      <c r="S40" s="88"/>
      <c r="T40" s="88"/>
      <c r="U40" s="88"/>
      <c r="V40" s="88"/>
      <c r="W40" s="88"/>
      <c r="X40" s="89"/>
      <c r="Y40" s="89"/>
      <c r="Z40" s="82"/>
      <c r="AA40" s="78" t="s">
        <v>74</v>
      </c>
      <c r="AB40" s="87"/>
      <c r="AC40" s="88">
        <v>12</v>
      </c>
      <c r="AD40" s="88"/>
      <c r="AE40" s="88"/>
      <c r="AF40" s="88"/>
      <c r="AG40" s="88"/>
      <c r="AH40" s="88"/>
      <c r="AI40" s="88"/>
      <c r="AJ40" s="89"/>
      <c r="AK40" s="89"/>
      <c r="AL40" s="82"/>
      <c r="AM40" s="75">
        <v>1</v>
      </c>
      <c r="AN40" s="75"/>
      <c r="AO40" s="77">
        <v>1</v>
      </c>
      <c r="AP40" s="74"/>
      <c r="AQ40" s="75"/>
      <c r="AR40" s="77"/>
      <c r="AS40" s="75"/>
      <c r="AT40" s="75"/>
      <c r="AU40" s="77"/>
      <c r="AV40" s="77"/>
      <c r="AW40" s="75"/>
      <c r="AX40" s="75"/>
      <c r="AY40" s="83"/>
      <c r="AZ40" s="75">
        <v>10000</v>
      </c>
      <c r="BA40" s="75"/>
      <c r="BB40" s="77">
        <v>10000</v>
      </c>
      <c r="BC40" s="75"/>
      <c r="BD40" s="75"/>
      <c r="BE40" s="77"/>
      <c r="BF40" s="75"/>
      <c r="BG40" s="75"/>
      <c r="BH40" s="77"/>
      <c r="BI40" s="77"/>
      <c r="BJ40" s="75"/>
      <c r="BK40" s="75"/>
      <c r="BL40" s="83"/>
      <c r="BM40" s="84">
        <v>0.5</v>
      </c>
      <c r="BN40" s="84"/>
      <c r="BO40" s="84"/>
      <c r="BP40" s="85"/>
      <c r="BQ40" s="86"/>
      <c r="BR40" s="86"/>
    </row>
    <row r="41" spans="1:70">
      <c r="A41" s="70"/>
      <c r="B41" s="70" t="s">
        <v>103</v>
      </c>
      <c r="C41" s="71">
        <v>1</v>
      </c>
      <c r="D41" s="71" t="s">
        <v>44</v>
      </c>
      <c r="E41" s="72" t="s">
        <v>97</v>
      </c>
      <c r="F41" s="72"/>
      <c r="G41" s="72">
        <v>1</v>
      </c>
      <c r="H41" s="72"/>
      <c r="I41" s="72"/>
      <c r="J41" s="73"/>
      <c r="K41" s="74">
        <v>250</v>
      </c>
      <c r="L41" s="75">
        <v>174</v>
      </c>
      <c r="M41" s="76">
        <v>25</v>
      </c>
      <c r="N41" s="77">
        <v>6</v>
      </c>
      <c r="O41" s="78" t="s">
        <v>60</v>
      </c>
      <c r="P41" s="87"/>
      <c r="Q41" s="88">
        <v>5</v>
      </c>
      <c r="R41" s="88"/>
      <c r="S41" s="88">
        <v>4</v>
      </c>
      <c r="T41" s="88"/>
      <c r="U41" s="88"/>
      <c r="V41" s="88"/>
      <c r="W41" s="88"/>
      <c r="X41" s="89"/>
      <c r="Y41" s="89"/>
      <c r="Z41" s="82">
        <v>3500</v>
      </c>
      <c r="AA41" s="78" t="s">
        <v>60</v>
      </c>
      <c r="AB41" s="87"/>
      <c r="AC41" s="88">
        <v>4</v>
      </c>
      <c r="AD41" s="88"/>
      <c r="AE41" s="88">
        <v>4</v>
      </c>
      <c r="AF41" s="88"/>
      <c r="AG41" s="88"/>
      <c r="AH41" s="88"/>
      <c r="AI41" s="88"/>
      <c r="AJ41" s="89"/>
      <c r="AK41" s="89"/>
      <c r="AL41" s="82">
        <v>3700</v>
      </c>
      <c r="AM41" s="75">
        <v>2</v>
      </c>
      <c r="AN41" s="75"/>
      <c r="AO41" s="77">
        <v>3</v>
      </c>
      <c r="AP41" s="74"/>
      <c r="AQ41" s="75"/>
      <c r="AR41" s="77"/>
      <c r="AS41" s="75"/>
      <c r="AT41" s="75"/>
      <c r="AU41" s="77"/>
      <c r="AV41" s="77"/>
      <c r="AW41" s="75"/>
      <c r="AX41" s="75"/>
      <c r="AY41" s="83"/>
      <c r="AZ41" s="75">
        <f>(2500+5000)/AM41</f>
        <v>3750</v>
      </c>
      <c r="BA41" s="75"/>
      <c r="BB41" s="77">
        <f>(10000+15000+7000)/AO41</f>
        <v>10666.666666666666</v>
      </c>
      <c r="BC41" s="75"/>
      <c r="BD41" s="75"/>
      <c r="BE41" s="77"/>
      <c r="BF41" s="75"/>
      <c r="BG41" s="75"/>
      <c r="BH41" s="77"/>
      <c r="BI41" s="77"/>
      <c r="BJ41" s="75"/>
      <c r="BK41" s="75"/>
      <c r="BL41" s="83"/>
      <c r="BM41" s="84">
        <v>0.35</v>
      </c>
      <c r="BN41" s="84"/>
      <c r="BO41" s="84"/>
      <c r="BP41" s="85"/>
      <c r="BQ41" s="86"/>
      <c r="BR41" s="86"/>
    </row>
    <row r="42" spans="1:70">
      <c r="A42" s="70"/>
      <c r="B42" s="70" t="s">
        <v>105</v>
      </c>
      <c r="C42" s="71">
        <v>32</v>
      </c>
      <c r="D42" s="71" t="s">
        <v>106</v>
      </c>
      <c r="E42" s="72" t="s">
        <v>97</v>
      </c>
      <c r="F42" s="72"/>
      <c r="G42" s="72">
        <v>1</v>
      </c>
      <c r="H42" s="72"/>
      <c r="I42" s="72"/>
      <c r="J42" s="73"/>
      <c r="K42" s="74">
        <v>260</v>
      </c>
      <c r="L42" s="75">
        <v>200</v>
      </c>
      <c r="M42" s="76">
        <v>30</v>
      </c>
      <c r="N42" s="77">
        <v>6</v>
      </c>
      <c r="O42" s="78" t="s">
        <v>74</v>
      </c>
      <c r="P42" s="87"/>
      <c r="Q42" s="88">
        <v>12</v>
      </c>
      <c r="R42" s="88"/>
      <c r="S42" s="88"/>
      <c r="T42" s="88"/>
      <c r="U42" s="88"/>
      <c r="V42" s="88"/>
      <c r="W42" s="88"/>
      <c r="X42" s="89"/>
      <c r="Y42" s="89"/>
      <c r="Z42" s="82">
        <v>2500</v>
      </c>
      <c r="AA42" s="78" t="s">
        <v>74</v>
      </c>
      <c r="AB42" s="87"/>
      <c r="AC42" s="88">
        <v>10</v>
      </c>
      <c r="AD42" s="88"/>
      <c r="AE42" s="88"/>
      <c r="AF42" s="88"/>
      <c r="AG42" s="88"/>
      <c r="AH42" s="88"/>
      <c r="AI42" s="88"/>
      <c r="AJ42" s="89"/>
      <c r="AK42" s="89"/>
      <c r="AL42" s="82">
        <v>2300</v>
      </c>
      <c r="AM42" s="75">
        <v>1</v>
      </c>
      <c r="AN42" s="75"/>
      <c r="AO42" s="77"/>
      <c r="AP42" s="74"/>
      <c r="AQ42" s="75"/>
      <c r="AR42" s="77"/>
      <c r="AS42" s="75"/>
      <c r="AT42" s="75"/>
      <c r="AU42" s="77"/>
      <c r="AV42" s="77"/>
      <c r="AW42" s="75"/>
      <c r="AX42" s="75"/>
      <c r="AY42" s="83"/>
      <c r="AZ42" s="75">
        <v>7000</v>
      </c>
      <c r="BA42" s="75"/>
      <c r="BB42" s="77"/>
      <c r="BC42" s="75"/>
      <c r="BD42" s="75"/>
      <c r="BE42" s="77"/>
      <c r="BF42" s="75"/>
      <c r="BG42" s="75"/>
      <c r="BH42" s="77"/>
      <c r="BI42" s="77"/>
      <c r="BJ42" s="75"/>
      <c r="BK42" s="75"/>
      <c r="BL42" s="83"/>
      <c r="BM42" s="84"/>
      <c r="BN42" s="84"/>
      <c r="BO42" s="84"/>
      <c r="BP42" s="85"/>
      <c r="BQ42" s="86"/>
      <c r="BR42" s="86"/>
    </row>
    <row r="43" spans="1:70">
      <c r="A43" s="70"/>
      <c r="B43" s="70" t="s">
        <v>107</v>
      </c>
      <c r="C43" s="71">
        <v>2</v>
      </c>
      <c r="D43" s="71" t="s">
        <v>44</v>
      </c>
      <c r="E43" s="72" t="s">
        <v>97</v>
      </c>
      <c r="F43" s="72"/>
      <c r="G43" s="72">
        <v>1</v>
      </c>
      <c r="H43" s="72"/>
      <c r="I43" s="72"/>
      <c r="J43" s="73"/>
      <c r="K43" s="74">
        <v>200</v>
      </c>
      <c r="L43" s="75">
        <v>100</v>
      </c>
      <c r="M43" s="76">
        <v>50</v>
      </c>
      <c r="N43" s="77">
        <v>3</v>
      </c>
      <c r="O43" s="78" t="s">
        <v>102</v>
      </c>
      <c r="P43" s="87"/>
      <c r="Q43" s="88"/>
      <c r="R43" s="88">
        <v>9</v>
      </c>
      <c r="S43" s="88"/>
      <c r="T43" s="88"/>
      <c r="U43" s="88"/>
      <c r="V43" s="88"/>
      <c r="W43" s="88"/>
      <c r="X43" s="89"/>
      <c r="Y43" s="89"/>
      <c r="Z43" s="82">
        <v>20100</v>
      </c>
      <c r="AA43" s="78" t="s">
        <v>102</v>
      </c>
      <c r="AB43" s="87"/>
      <c r="AC43" s="88"/>
      <c r="AD43" s="88">
        <v>6</v>
      </c>
      <c r="AE43" s="88"/>
      <c r="AF43" s="88"/>
      <c r="AG43" s="88"/>
      <c r="AH43" s="88"/>
      <c r="AI43" s="88"/>
      <c r="AJ43" s="89"/>
      <c r="AK43" s="89"/>
      <c r="AL43" s="82">
        <v>21519</v>
      </c>
      <c r="AM43" s="75"/>
      <c r="AN43" s="75"/>
      <c r="AO43" s="77">
        <v>1</v>
      </c>
      <c r="AP43" s="74"/>
      <c r="AQ43" s="75"/>
      <c r="AR43" s="77"/>
      <c r="AS43" s="75"/>
      <c r="AT43" s="75"/>
      <c r="AU43" s="77"/>
      <c r="AV43" s="77"/>
      <c r="AW43" s="75"/>
      <c r="AX43" s="75"/>
      <c r="AY43" s="83"/>
      <c r="AZ43" s="75"/>
      <c r="BA43" s="75"/>
      <c r="BB43" s="77">
        <v>6000</v>
      </c>
      <c r="BC43" s="75"/>
      <c r="BD43" s="75"/>
      <c r="BE43" s="77"/>
      <c r="BF43" s="75"/>
      <c r="BG43" s="75"/>
      <c r="BH43" s="77"/>
      <c r="BI43" s="77"/>
      <c r="BJ43" s="75"/>
      <c r="BK43" s="75"/>
      <c r="BL43" s="83"/>
      <c r="BM43" s="84">
        <v>0.5</v>
      </c>
      <c r="BN43" s="84"/>
      <c r="BO43" s="84"/>
      <c r="BP43" s="85"/>
      <c r="BQ43" s="86"/>
      <c r="BR43" s="86"/>
    </row>
    <row r="44" spans="1:70">
      <c r="A44" s="70"/>
      <c r="B44" s="70" t="s">
        <v>108</v>
      </c>
      <c r="C44" s="71">
        <v>7</v>
      </c>
      <c r="D44" s="71" t="s">
        <v>44</v>
      </c>
      <c r="E44" s="72" t="s">
        <v>97</v>
      </c>
      <c r="F44" s="72"/>
      <c r="G44" s="72">
        <v>1</v>
      </c>
      <c r="H44" s="72"/>
      <c r="I44" s="72">
        <v>1</v>
      </c>
      <c r="J44" s="73"/>
      <c r="K44" s="74">
        <v>120</v>
      </c>
      <c r="L44" s="75">
        <v>120</v>
      </c>
      <c r="M44" s="76">
        <v>80</v>
      </c>
      <c r="N44" s="77">
        <v>2</v>
      </c>
      <c r="O44" s="78"/>
      <c r="P44" s="87"/>
      <c r="Q44" s="88"/>
      <c r="R44" s="88"/>
      <c r="S44" s="88"/>
      <c r="T44" s="88"/>
      <c r="U44" s="88"/>
      <c r="V44" s="88"/>
      <c r="W44" s="88"/>
      <c r="X44" s="89"/>
      <c r="Y44" s="89"/>
      <c r="Z44" s="82">
        <v>1750</v>
      </c>
      <c r="AA44" s="78"/>
      <c r="AB44" s="87"/>
      <c r="AC44" s="88">
        <v>6</v>
      </c>
      <c r="AD44" s="88"/>
      <c r="AE44" s="88">
        <v>2</v>
      </c>
      <c r="AF44" s="88"/>
      <c r="AG44" s="88"/>
      <c r="AH44" s="88"/>
      <c r="AI44" s="88"/>
      <c r="AJ44" s="89"/>
      <c r="AK44" s="89"/>
      <c r="AL44" s="82">
        <v>2000</v>
      </c>
      <c r="AM44" s="75"/>
      <c r="AN44" s="75"/>
      <c r="AO44" s="77"/>
      <c r="AP44" s="74"/>
      <c r="AQ44" s="75"/>
      <c r="AR44" s="77"/>
      <c r="AS44" s="75"/>
      <c r="AT44" s="75"/>
      <c r="AU44" s="77"/>
      <c r="AV44" s="77"/>
      <c r="AW44" s="75"/>
      <c r="AX44" s="75"/>
      <c r="AY44" s="83"/>
      <c r="AZ44" s="75"/>
      <c r="BA44" s="75"/>
      <c r="BB44" s="77"/>
      <c r="BC44" s="75"/>
      <c r="BD44" s="75"/>
      <c r="BE44" s="77"/>
      <c r="BF44" s="75"/>
      <c r="BG44" s="75"/>
      <c r="BH44" s="77"/>
      <c r="BI44" s="77"/>
      <c r="BJ44" s="75"/>
      <c r="BK44" s="75"/>
      <c r="BL44" s="83"/>
      <c r="BM44" s="84"/>
      <c r="BN44" s="84"/>
      <c r="BO44" s="84"/>
      <c r="BP44" s="85"/>
      <c r="BQ44" s="86"/>
      <c r="BR44" s="86"/>
    </row>
    <row r="45" spans="1:70">
      <c r="A45" s="70" t="s">
        <v>52</v>
      </c>
      <c r="B45" s="70" t="s">
        <v>68</v>
      </c>
      <c r="C45" s="71">
        <v>12</v>
      </c>
      <c r="D45" s="71" t="s">
        <v>44</v>
      </c>
      <c r="E45" s="72" t="s">
        <v>97</v>
      </c>
      <c r="F45" s="72"/>
      <c r="G45" s="72">
        <v>1</v>
      </c>
      <c r="H45" s="72"/>
      <c r="I45" s="72"/>
      <c r="J45" s="73"/>
      <c r="K45" s="74">
        <v>120</v>
      </c>
      <c r="L45" s="75">
        <v>120</v>
      </c>
      <c r="M45" s="76">
        <v>37</v>
      </c>
      <c r="N45" s="77">
        <v>7</v>
      </c>
      <c r="O45" s="78" t="s">
        <v>60</v>
      </c>
      <c r="P45" s="87"/>
      <c r="Q45" s="88">
        <v>5</v>
      </c>
      <c r="R45" s="88"/>
      <c r="S45" s="88"/>
      <c r="T45" s="88"/>
      <c r="U45" s="88"/>
      <c r="V45" s="88"/>
      <c r="W45" s="88"/>
      <c r="X45" s="89"/>
      <c r="Y45" s="89"/>
      <c r="Z45" s="82">
        <v>4100</v>
      </c>
      <c r="AA45" s="78" t="s">
        <v>60</v>
      </c>
      <c r="AB45" s="87"/>
      <c r="AC45" s="88">
        <v>5</v>
      </c>
      <c r="AD45" s="88"/>
      <c r="AE45" s="88"/>
      <c r="AF45" s="88"/>
      <c r="AG45" s="88"/>
      <c r="AH45" s="88"/>
      <c r="AI45" s="88"/>
      <c r="AJ45" s="89"/>
      <c r="AK45" s="89"/>
      <c r="AL45" s="82">
        <v>4100</v>
      </c>
      <c r="AM45" s="75"/>
      <c r="AN45" s="75"/>
      <c r="AO45" s="77">
        <v>1</v>
      </c>
      <c r="AP45" s="74"/>
      <c r="AQ45" s="75"/>
      <c r="AR45" s="77"/>
      <c r="AS45" s="75"/>
      <c r="AT45" s="75"/>
      <c r="AU45" s="77"/>
      <c r="AV45" s="77"/>
      <c r="AW45" s="75"/>
      <c r="AX45" s="75"/>
      <c r="AY45" s="83"/>
      <c r="AZ45" s="75"/>
      <c r="BA45" s="75"/>
      <c r="BB45" s="77">
        <v>10000</v>
      </c>
      <c r="BC45" s="75"/>
      <c r="BD45" s="75"/>
      <c r="BE45" s="77"/>
      <c r="BF45" s="75"/>
      <c r="BG45" s="75"/>
      <c r="BH45" s="77"/>
      <c r="BI45" s="77"/>
      <c r="BJ45" s="75"/>
      <c r="BK45" s="75"/>
      <c r="BL45" s="83"/>
      <c r="BM45" s="84">
        <v>0.4</v>
      </c>
      <c r="BN45" s="84"/>
      <c r="BO45" s="84"/>
      <c r="BP45" s="85"/>
      <c r="BQ45" s="86"/>
      <c r="BR45" s="86"/>
    </row>
    <row r="46" spans="1:70">
      <c r="A46" s="70" t="s">
        <v>42</v>
      </c>
      <c r="B46" s="70" t="s">
        <v>43</v>
      </c>
      <c r="C46" s="71">
        <v>10</v>
      </c>
      <c r="D46" s="71" t="s">
        <v>44</v>
      </c>
      <c r="E46" s="72" t="s">
        <v>97</v>
      </c>
      <c r="F46" s="72"/>
      <c r="G46" s="72">
        <v>1</v>
      </c>
      <c r="H46" s="72"/>
      <c r="I46" s="72"/>
      <c r="J46" s="73"/>
      <c r="K46" s="74">
        <v>250</v>
      </c>
      <c r="L46" s="75">
        <v>200</v>
      </c>
      <c r="M46" s="76">
        <v>40</v>
      </c>
      <c r="N46" s="77">
        <v>6</v>
      </c>
      <c r="O46" s="78" t="s">
        <v>74</v>
      </c>
      <c r="P46" s="87"/>
      <c r="Q46" s="88">
        <v>4</v>
      </c>
      <c r="R46" s="88"/>
      <c r="S46" s="88">
        <v>6</v>
      </c>
      <c r="T46" s="88"/>
      <c r="U46" s="88"/>
      <c r="V46" s="88"/>
      <c r="W46" s="88"/>
      <c r="X46" s="89"/>
      <c r="Y46" s="89"/>
      <c r="Z46" s="82"/>
      <c r="AA46" s="78" t="s">
        <v>102</v>
      </c>
      <c r="AB46" s="87"/>
      <c r="AC46" s="88"/>
      <c r="AD46" s="88">
        <v>5</v>
      </c>
      <c r="AE46" s="88">
        <v>3</v>
      </c>
      <c r="AF46" s="88"/>
      <c r="AG46" s="88"/>
      <c r="AH46" s="88"/>
      <c r="AI46" s="88"/>
      <c r="AJ46" s="89"/>
      <c r="AK46" s="89"/>
      <c r="AL46" s="82"/>
      <c r="AM46" s="75"/>
      <c r="AN46" s="75"/>
      <c r="AO46" s="77">
        <v>3</v>
      </c>
      <c r="AP46" s="74"/>
      <c r="AQ46" s="75"/>
      <c r="AR46" s="77"/>
      <c r="AS46" s="75"/>
      <c r="AT46" s="75"/>
      <c r="AU46" s="77"/>
      <c r="AV46" s="77"/>
      <c r="AW46" s="75"/>
      <c r="AX46" s="75"/>
      <c r="AY46" s="83"/>
      <c r="AZ46" s="75"/>
      <c r="BA46" s="75"/>
      <c r="BB46" s="77">
        <v>15000</v>
      </c>
      <c r="BC46" s="75"/>
      <c r="BD46" s="75"/>
      <c r="BE46" s="77"/>
      <c r="BF46" s="75"/>
      <c r="BG46" s="75"/>
      <c r="BH46" s="77"/>
      <c r="BI46" s="77"/>
      <c r="BJ46" s="75"/>
      <c r="BK46" s="75"/>
      <c r="BL46" s="83"/>
      <c r="BM46" s="84">
        <v>0.8</v>
      </c>
      <c r="BN46" s="84"/>
      <c r="BO46" s="84"/>
      <c r="BP46" s="85"/>
      <c r="BQ46" s="86"/>
      <c r="BR46" s="86"/>
    </row>
    <row r="47" spans="1:70">
      <c r="A47" s="70"/>
      <c r="B47" s="70"/>
      <c r="C47" s="71"/>
      <c r="D47" s="71" t="s">
        <v>44</v>
      </c>
      <c r="E47" s="72" t="s">
        <v>97</v>
      </c>
      <c r="F47" s="72"/>
      <c r="G47" s="72">
        <v>1</v>
      </c>
      <c r="H47" s="72"/>
      <c r="I47" s="72"/>
      <c r="J47" s="73"/>
      <c r="K47" s="74">
        <v>190</v>
      </c>
      <c r="L47" s="75">
        <v>160</v>
      </c>
      <c r="M47" s="76">
        <f>2015-1937</f>
        <v>78</v>
      </c>
      <c r="N47" s="77">
        <v>5</v>
      </c>
      <c r="O47" s="78" t="s">
        <v>102</v>
      </c>
      <c r="P47" s="87"/>
      <c r="Q47" s="88"/>
      <c r="R47" s="88">
        <v>4.5</v>
      </c>
      <c r="S47" s="88"/>
      <c r="T47" s="88"/>
      <c r="U47" s="88"/>
      <c r="V47" s="88"/>
      <c r="W47" s="88"/>
      <c r="X47" s="89"/>
      <c r="Y47" s="89"/>
      <c r="Z47" s="82">
        <v>1925</v>
      </c>
      <c r="AA47" s="78" t="s">
        <v>102</v>
      </c>
      <c r="AB47" s="87"/>
      <c r="AC47" s="88"/>
      <c r="AD47" s="88">
        <v>4</v>
      </c>
      <c r="AE47" s="88"/>
      <c r="AF47" s="88"/>
      <c r="AG47" s="88"/>
      <c r="AH47" s="88"/>
      <c r="AI47" s="88"/>
      <c r="AJ47" s="89"/>
      <c r="AK47" s="89"/>
      <c r="AL47" s="82">
        <v>2195</v>
      </c>
      <c r="AM47" s="75"/>
      <c r="AN47" s="75"/>
      <c r="AO47" s="77">
        <v>2</v>
      </c>
      <c r="AP47" s="74"/>
      <c r="AQ47" s="75"/>
      <c r="AR47" s="77"/>
      <c r="AS47" s="75"/>
      <c r="AT47" s="75"/>
      <c r="AU47" s="77"/>
      <c r="AV47" s="77"/>
      <c r="AW47" s="75"/>
      <c r="AX47" s="75"/>
      <c r="AY47" s="83"/>
      <c r="AZ47" s="75"/>
      <c r="BA47" s="75"/>
      <c r="BB47" s="77">
        <f>40000/AO47</f>
        <v>20000</v>
      </c>
      <c r="BC47" s="75"/>
      <c r="BD47" s="75"/>
      <c r="BE47" s="77"/>
      <c r="BF47" s="75"/>
      <c r="BG47" s="75"/>
      <c r="BH47" s="77"/>
      <c r="BI47" s="77"/>
      <c r="BJ47" s="75"/>
      <c r="BK47" s="75"/>
      <c r="BL47" s="83"/>
      <c r="BM47" s="84">
        <v>0.05</v>
      </c>
      <c r="BN47" s="84"/>
      <c r="BO47" s="84"/>
      <c r="BP47" s="85"/>
      <c r="BQ47" s="86"/>
      <c r="BR47" s="86"/>
    </row>
    <row r="48" spans="1:70">
      <c r="A48" s="70"/>
      <c r="B48" s="70" t="s">
        <v>109</v>
      </c>
      <c r="C48" s="71">
        <v>7</v>
      </c>
      <c r="D48" s="71" t="s">
        <v>44</v>
      </c>
      <c r="E48" s="72" t="s">
        <v>97</v>
      </c>
      <c r="F48" s="72"/>
      <c r="G48" s="72">
        <v>1</v>
      </c>
      <c r="H48" s="72"/>
      <c r="I48" s="72"/>
      <c r="J48" s="73"/>
      <c r="K48" s="74">
        <v>130</v>
      </c>
      <c r="L48" s="75">
        <v>130</v>
      </c>
      <c r="M48" s="76">
        <v>75</v>
      </c>
      <c r="N48" s="77">
        <v>4</v>
      </c>
      <c r="O48" s="78" t="s">
        <v>102</v>
      </c>
      <c r="P48" s="87"/>
      <c r="Q48" s="88"/>
      <c r="R48" s="88">
        <v>5</v>
      </c>
      <c r="S48" s="88"/>
      <c r="T48" s="88"/>
      <c r="U48" s="88"/>
      <c r="V48" s="88"/>
      <c r="W48" s="88"/>
      <c r="X48" s="89"/>
      <c r="Y48" s="89"/>
      <c r="Z48" s="82">
        <v>4850</v>
      </c>
      <c r="AA48" s="78" t="s">
        <v>102</v>
      </c>
      <c r="AB48" s="87"/>
      <c r="AC48" s="88"/>
      <c r="AD48" s="88">
        <v>4.5</v>
      </c>
      <c r="AE48" s="88"/>
      <c r="AF48" s="88"/>
      <c r="AG48" s="88"/>
      <c r="AH48" s="88"/>
      <c r="AI48" s="88"/>
      <c r="AJ48" s="89"/>
      <c r="AK48" s="89"/>
      <c r="AL48" s="82">
        <v>4700</v>
      </c>
      <c r="AM48" s="75">
        <v>1</v>
      </c>
      <c r="AN48" s="75"/>
      <c r="AO48" s="77"/>
      <c r="AP48" s="74"/>
      <c r="AQ48" s="75"/>
      <c r="AR48" s="77"/>
      <c r="AS48" s="75"/>
      <c r="AT48" s="75"/>
      <c r="AU48" s="77"/>
      <c r="AV48" s="77"/>
      <c r="AW48" s="75"/>
      <c r="AX48" s="75"/>
      <c r="AY48" s="83"/>
      <c r="AZ48" s="75">
        <v>10000</v>
      </c>
      <c r="BA48" s="75"/>
      <c r="BB48" s="77"/>
      <c r="BC48" s="75"/>
      <c r="BD48" s="75"/>
      <c r="BE48" s="77"/>
      <c r="BF48" s="75"/>
      <c r="BG48" s="75"/>
      <c r="BH48" s="77"/>
      <c r="BI48" s="77"/>
      <c r="BJ48" s="75"/>
      <c r="BK48" s="75"/>
      <c r="BL48" s="83"/>
      <c r="BM48" s="84">
        <v>0.4</v>
      </c>
      <c r="BN48" s="84"/>
      <c r="BO48" s="84"/>
      <c r="BP48" s="85"/>
      <c r="BQ48" s="86"/>
      <c r="BR48" s="86"/>
    </row>
    <row r="49" spans="1:70">
      <c r="A49" s="70" t="s">
        <v>42</v>
      </c>
      <c r="B49" s="70" t="s">
        <v>110</v>
      </c>
      <c r="C49" s="71" t="s">
        <v>111</v>
      </c>
      <c r="D49" s="71"/>
      <c r="E49" s="72" t="s">
        <v>97</v>
      </c>
      <c r="F49" s="72"/>
      <c r="G49" s="72"/>
      <c r="H49" s="72"/>
      <c r="I49" s="72">
        <v>1</v>
      </c>
      <c r="J49" s="73"/>
      <c r="K49" s="74">
        <v>55</v>
      </c>
      <c r="L49" s="75">
        <v>55</v>
      </c>
      <c r="M49" s="76">
        <v>40</v>
      </c>
      <c r="N49" s="77">
        <v>4</v>
      </c>
      <c r="O49" s="78" t="s">
        <v>74</v>
      </c>
      <c r="P49" s="87"/>
      <c r="Q49" s="88">
        <v>6</v>
      </c>
      <c r="R49" s="88"/>
      <c r="S49" s="88">
        <v>5</v>
      </c>
      <c r="T49" s="88"/>
      <c r="U49" s="88"/>
      <c r="V49" s="88"/>
      <c r="W49" s="88">
        <f>12*5.36</f>
        <v>64.320000000000007</v>
      </c>
      <c r="X49" s="89"/>
      <c r="Y49" s="89"/>
      <c r="Z49" s="82">
        <v>1716</v>
      </c>
      <c r="AA49" s="78" t="s">
        <v>74</v>
      </c>
      <c r="AB49" s="87"/>
      <c r="AC49" s="88">
        <v>6</v>
      </c>
      <c r="AD49" s="88"/>
      <c r="AE49" s="88"/>
      <c r="AF49" s="88"/>
      <c r="AG49" s="88"/>
      <c r="AH49" s="88"/>
      <c r="AI49" s="88"/>
      <c r="AJ49" s="89"/>
      <c r="AK49" s="89"/>
      <c r="AL49" s="82">
        <v>1707</v>
      </c>
      <c r="AM49" s="75">
        <v>1</v>
      </c>
      <c r="AN49" s="75"/>
      <c r="AO49" s="77"/>
      <c r="AP49" s="74"/>
      <c r="AQ49" s="75"/>
      <c r="AR49" s="77"/>
      <c r="AS49" s="75"/>
      <c r="AT49" s="75"/>
      <c r="AU49" s="77"/>
      <c r="AV49" s="77"/>
      <c r="AW49" s="75"/>
      <c r="AX49" s="75"/>
      <c r="AY49" s="83"/>
      <c r="AZ49" s="75">
        <v>1500</v>
      </c>
      <c r="BA49" s="75"/>
      <c r="BB49" s="77"/>
      <c r="BC49" s="75"/>
      <c r="BD49" s="75"/>
      <c r="BE49" s="77"/>
      <c r="BF49" s="75"/>
      <c r="BG49" s="75"/>
      <c r="BH49" s="77"/>
      <c r="BI49" s="77"/>
      <c r="BJ49" s="75"/>
      <c r="BK49" s="75"/>
      <c r="BL49" s="83"/>
      <c r="BM49" s="84">
        <v>0.99</v>
      </c>
      <c r="BN49" s="84"/>
      <c r="BO49" s="84"/>
      <c r="BP49" s="85"/>
      <c r="BQ49" s="86"/>
      <c r="BR49" s="86"/>
    </row>
    <row r="50" spans="1:70">
      <c r="A50" s="70" t="s">
        <v>42</v>
      </c>
      <c r="B50" s="70" t="s">
        <v>49</v>
      </c>
      <c r="C50" s="71">
        <v>9</v>
      </c>
      <c r="D50" s="71"/>
      <c r="E50" s="72" t="s">
        <v>97</v>
      </c>
      <c r="F50" s="72"/>
      <c r="G50" s="72">
        <v>1</v>
      </c>
      <c r="H50" s="72"/>
      <c r="I50" s="72"/>
      <c r="J50" s="73"/>
      <c r="K50" s="74">
        <v>72</v>
      </c>
      <c r="L50" s="75">
        <v>72</v>
      </c>
      <c r="M50" s="76">
        <v>45</v>
      </c>
      <c r="N50" s="77">
        <v>2</v>
      </c>
      <c r="O50" s="78" t="s">
        <v>51</v>
      </c>
      <c r="P50" s="87"/>
      <c r="Q50" s="88">
        <v>3.5</v>
      </c>
      <c r="R50" s="88"/>
      <c r="S50" s="88"/>
      <c r="T50" s="88"/>
      <c r="U50" s="88"/>
      <c r="V50" s="88"/>
      <c r="W50" s="88"/>
      <c r="X50" s="89"/>
      <c r="Y50" s="89"/>
      <c r="Z50" s="82"/>
      <c r="AA50" s="78" t="s">
        <v>51</v>
      </c>
      <c r="AB50" s="87"/>
      <c r="AC50" s="88">
        <v>3</v>
      </c>
      <c r="AD50" s="88"/>
      <c r="AE50" s="88"/>
      <c r="AF50" s="88"/>
      <c r="AG50" s="88"/>
      <c r="AH50" s="88"/>
      <c r="AI50" s="88"/>
      <c r="AJ50" s="89"/>
      <c r="AK50" s="89"/>
      <c r="AL50" s="82">
        <v>2420</v>
      </c>
      <c r="AM50" s="75"/>
      <c r="AN50" s="75">
        <v>1</v>
      </c>
      <c r="AO50" s="77">
        <v>1</v>
      </c>
      <c r="AP50" s="74"/>
      <c r="AQ50" s="75"/>
      <c r="AR50" s="77"/>
      <c r="AS50" s="75"/>
      <c r="AT50" s="75"/>
      <c r="AU50" s="77"/>
      <c r="AV50" s="77"/>
      <c r="AW50" s="75"/>
      <c r="AX50" s="75"/>
      <c r="AY50" s="83"/>
      <c r="AZ50" s="75"/>
      <c r="BA50" s="75">
        <v>2000</v>
      </c>
      <c r="BB50" s="77">
        <v>1000</v>
      </c>
      <c r="BC50" s="75"/>
      <c r="BD50" s="75"/>
      <c r="BE50" s="77"/>
      <c r="BF50" s="75"/>
      <c r="BG50" s="75"/>
      <c r="BH50" s="77"/>
      <c r="BI50" s="77"/>
      <c r="BJ50" s="75"/>
      <c r="BK50" s="75"/>
      <c r="BL50" s="83"/>
      <c r="BM50" s="84"/>
      <c r="BN50" s="84"/>
      <c r="BO50" s="84"/>
      <c r="BP50" s="85"/>
      <c r="BQ50" s="86"/>
      <c r="BR50" s="86"/>
    </row>
    <row r="51" spans="1:70">
      <c r="A51" s="70" t="s">
        <v>42</v>
      </c>
      <c r="B51" s="70" t="s">
        <v>53</v>
      </c>
      <c r="C51" s="71" t="s">
        <v>112</v>
      </c>
      <c r="D51" s="71"/>
      <c r="E51" s="72" t="s">
        <v>97</v>
      </c>
      <c r="F51" s="72"/>
      <c r="G51" s="72">
        <v>1</v>
      </c>
      <c r="H51" s="72"/>
      <c r="I51" s="72"/>
      <c r="J51" s="73"/>
      <c r="K51" s="74">
        <v>150</v>
      </c>
      <c r="L51" s="75">
        <v>150</v>
      </c>
      <c r="M51" s="76">
        <v>30</v>
      </c>
      <c r="N51" s="77">
        <v>1</v>
      </c>
      <c r="O51" s="78" t="s">
        <v>74</v>
      </c>
      <c r="P51" s="87"/>
      <c r="Q51" s="88"/>
      <c r="R51" s="88">
        <v>6</v>
      </c>
      <c r="S51" s="88"/>
      <c r="T51" s="88"/>
      <c r="U51" s="88"/>
      <c r="V51" s="88"/>
      <c r="W51" s="88"/>
      <c r="X51" s="89"/>
      <c r="Y51" s="89"/>
      <c r="Z51" s="82"/>
      <c r="AA51" s="78" t="s">
        <v>74</v>
      </c>
      <c r="AB51" s="87"/>
      <c r="AC51" s="88"/>
      <c r="AD51" s="88">
        <v>6</v>
      </c>
      <c r="AE51" s="88"/>
      <c r="AF51" s="88"/>
      <c r="AG51" s="88"/>
      <c r="AH51" s="88"/>
      <c r="AI51" s="88"/>
      <c r="AJ51" s="89"/>
      <c r="AK51" s="89"/>
      <c r="AL51" s="82"/>
      <c r="AM51" s="75"/>
      <c r="AN51" s="75"/>
      <c r="AO51" s="77"/>
      <c r="AP51" s="74"/>
      <c r="AQ51" s="75"/>
      <c r="AR51" s="77"/>
      <c r="AS51" s="75"/>
      <c r="AT51" s="75"/>
      <c r="AU51" s="77"/>
      <c r="AV51" s="77"/>
      <c r="AW51" s="75"/>
      <c r="AX51" s="75"/>
      <c r="AY51" s="83"/>
      <c r="AZ51" s="75"/>
      <c r="BA51" s="75"/>
      <c r="BB51" s="77"/>
      <c r="BC51" s="75"/>
      <c r="BD51" s="75"/>
      <c r="BE51" s="77"/>
      <c r="BF51" s="75"/>
      <c r="BG51" s="75"/>
      <c r="BH51" s="77"/>
      <c r="BI51" s="77"/>
      <c r="BJ51" s="75"/>
      <c r="BK51" s="75"/>
      <c r="BL51" s="83"/>
      <c r="BM51" s="84"/>
      <c r="BN51" s="84"/>
      <c r="BO51" s="84"/>
      <c r="BP51" s="85"/>
      <c r="BQ51" s="86"/>
      <c r="BR51" s="86"/>
    </row>
    <row r="52" spans="1:70">
      <c r="A52" s="70" t="s">
        <v>42</v>
      </c>
      <c r="B52" s="70" t="s">
        <v>56</v>
      </c>
      <c r="C52" s="71">
        <v>117</v>
      </c>
      <c r="D52" s="71"/>
      <c r="E52" s="72" t="s">
        <v>97</v>
      </c>
      <c r="F52" s="72"/>
      <c r="G52" s="72">
        <v>1</v>
      </c>
      <c r="H52" s="72"/>
      <c r="I52" s="72"/>
      <c r="J52" s="73"/>
      <c r="K52" s="74">
        <v>170</v>
      </c>
      <c r="L52" s="75">
        <v>170</v>
      </c>
      <c r="M52" s="76">
        <v>80</v>
      </c>
      <c r="N52" s="77">
        <v>2</v>
      </c>
      <c r="O52" s="78" t="s">
        <v>51</v>
      </c>
      <c r="P52" s="87"/>
      <c r="Q52" s="88">
        <v>6.5</v>
      </c>
      <c r="R52" s="88"/>
      <c r="S52" s="88"/>
      <c r="T52" s="88"/>
      <c r="U52" s="88"/>
      <c r="V52" s="88"/>
      <c r="W52" s="88"/>
      <c r="X52" s="89"/>
      <c r="Y52" s="89"/>
      <c r="Z52" s="82">
        <v>3300</v>
      </c>
      <c r="AA52" s="78" t="s">
        <v>51</v>
      </c>
      <c r="AB52" s="87"/>
      <c r="AC52" s="88">
        <v>6.5</v>
      </c>
      <c r="AD52" s="88"/>
      <c r="AE52" s="88"/>
      <c r="AF52" s="88"/>
      <c r="AG52" s="88"/>
      <c r="AH52" s="88"/>
      <c r="AI52" s="88"/>
      <c r="AJ52" s="89"/>
      <c r="AK52" s="89"/>
      <c r="AL52" s="82">
        <v>3200</v>
      </c>
      <c r="AM52" s="75">
        <v>1</v>
      </c>
      <c r="AN52" s="75"/>
      <c r="AO52" s="77"/>
      <c r="AP52" s="74"/>
      <c r="AQ52" s="75"/>
      <c r="AR52" s="77"/>
      <c r="AS52" s="75"/>
      <c r="AT52" s="75"/>
      <c r="AU52" s="77"/>
      <c r="AV52" s="77"/>
      <c r="AW52" s="75"/>
      <c r="AX52" s="75"/>
      <c r="AY52" s="83"/>
      <c r="AZ52" s="75">
        <v>5000</v>
      </c>
      <c r="BA52" s="75"/>
      <c r="BB52" s="77"/>
      <c r="BC52" s="75"/>
      <c r="BD52" s="75"/>
      <c r="BE52" s="77"/>
      <c r="BF52" s="75"/>
      <c r="BG52" s="75"/>
      <c r="BH52" s="77"/>
      <c r="BI52" s="77"/>
      <c r="BJ52" s="75"/>
      <c r="BK52" s="75"/>
      <c r="BL52" s="83"/>
      <c r="BM52" s="84">
        <v>0.6</v>
      </c>
      <c r="BN52" s="84"/>
      <c r="BO52" s="84"/>
      <c r="BP52" s="85"/>
      <c r="BQ52" s="86"/>
      <c r="BR52" s="86"/>
    </row>
    <row r="53" spans="1:70">
      <c r="A53" s="70" t="s">
        <v>42</v>
      </c>
      <c r="B53" s="70" t="s">
        <v>113</v>
      </c>
      <c r="C53" s="71">
        <v>45</v>
      </c>
      <c r="D53" s="71"/>
      <c r="E53" s="72" t="s">
        <v>97</v>
      </c>
      <c r="F53" s="72"/>
      <c r="G53" s="72">
        <v>1</v>
      </c>
      <c r="H53" s="72"/>
      <c r="I53" s="72"/>
      <c r="J53" s="73"/>
      <c r="K53" s="74">
        <v>140</v>
      </c>
      <c r="L53" s="75">
        <v>140</v>
      </c>
      <c r="M53" s="76">
        <v>20</v>
      </c>
      <c r="N53" s="77">
        <v>4</v>
      </c>
      <c r="O53" s="78"/>
      <c r="P53" s="87"/>
      <c r="Q53" s="88"/>
      <c r="R53" s="88"/>
      <c r="S53" s="88"/>
      <c r="T53" s="88"/>
      <c r="U53" s="88"/>
      <c r="V53" s="88"/>
      <c r="W53" s="88"/>
      <c r="X53" s="89"/>
      <c r="Y53" s="89"/>
      <c r="Z53" s="82"/>
      <c r="AA53" s="78"/>
      <c r="AB53" s="87"/>
      <c r="AC53" s="88"/>
      <c r="AD53" s="88">
        <v>4</v>
      </c>
      <c r="AE53" s="88"/>
      <c r="AF53" s="88"/>
      <c r="AG53" s="88"/>
      <c r="AH53" s="88"/>
      <c r="AI53" s="88"/>
      <c r="AJ53" s="89"/>
      <c r="AK53" s="89"/>
      <c r="AL53" s="82"/>
      <c r="AM53" s="75">
        <v>2</v>
      </c>
      <c r="AN53" s="75"/>
      <c r="AO53" s="77"/>
      <c r="AP53" s="74"/>
      <c r="AQ53" s="75"/>
      <c r="AR53" s="77"/>
      <c r="AS53" s="75"/>
      <c r="AT53" s="75"/>
      <c r="AU53" s="77"/>
      <c r="AV53" s="77"/>
      <c r="AW53" s="75"/>
      <c r="AX53" s="75"/>
      <c r="AY53" s="83"/>
      <c r="AZ53" s="75">
        <f>5200/AM53</f>
        <v>2600</v>
      </c>
      <c r="BA53" s="75"/>
      <c r="BB53" s="77"/>
      <c r="BC53" s="75"/>
      <c r="BD53" s="75"/>
      <c r="BE53" s="77"/>
      <c r="BF53" s="75"/>
      <c r="BG53" s="75"/>
      <c r="BH53" s="77"/>
      <c r="BI53" s="77"/>
      <c r="BJ53" s="75"/>
      <c r="BK53" s="75"/>
      <c r="BL53" s="83"/>
      <c r="BM53" s="84">
        <v>0.8</v>
      </c>
      <c r="BN53" s="84"/>
      <c r="BO53" s="84"/>
      <c r="BP53" s="85"/>
      <c r="BQ53" s="86"/>
      <c r="BR53" s="86"/>
    </row>
    <row r="54" spans="1:70">
      <c r="A54" s="70" t="s">
        <v>42</v>
      </c>
      <c r="B54" s="70" t="s">
        <v>114</v>
      </c>
      <c r="C54" s="71">
        <v>18</v>
      </c>
      <c r="D54" s="71"/>
      <c r="E54" s="72" t="s">
        <v>97</v>
      </c>
      <c r="F54" s="72"/>
      <c r="G54" s="72">
        <v>1</v>
      </c>
      <c r="H54" s="72"/>
      <c r="I54" s="72"/>
      <c r="J54" s="73"/>
      <c r="K54" s="74">
        <v>120</v>
      </c>
      <c r="L54" s="75">
        <v>120</v>
      </c>
      <c r="M54" s="76">
        <v>80</v>
      </c>
      <c r="N54" s="77">
        <v>4</v>
      </c>
      <c r="O54" s="78" t="s">
        <v>51</v>
      </c>
      <c r="P54" s="87"/>
      <c r="Q54" s="88">
        <v>7</v>
      </c>
      <c r="R54" s="88"/>
      <c r="S54" s="88"/>
      <c r="T54" s="88"/>
      <c r="U54" s="88"/>
      <c r="V54" s="88"/>
      <c r="W54" s="88"/>
      <c r="X54" s="89"/>
      <c r="Y54" s="89"/>
      <c r="Z54" s="82">
        <v>2000</v>
      </c>
      <c r="AA54" s="78" t="s">
        <v>51</v>
      </c>
      <c r="AB54" s="87"/>
      <c r="AC54" s="88">
        <v>8</v>
      </c>
      <c r="AD54" s="88"/>
      <c r="AE54" s="88"/>
      <c r="AF54" s="88"/>
      <c r="AG54" s="88"/>
      <c r="AH54" s="88"/>
      <c r="AI54" s="88"/>
      <c r="AJ54" s="89"/>
      <c r="AK54" s="89"/>
      <c r="AL54" s="82">
        <v>2400</v>
      </c>
      <c r="AM54" s="75">
        <v>1</v>
      </c>
      <c r="AN54" s="75"/>
      <c r="AO54" s="77"/>
      <c r="AP54" s="74"/>
      <c r="AQ54" s="75"/>
      <c r="AR54" s="77"/>
      <c r="AS54" s="75"/>
      <c r="AT54" s="75"/>
      <c r="AU54" s="77"/>
      <c r="AV54" s="77"/>
      <c r="AW54" s="75"/>
      <c r="AX54" s="75"/>
      <c r="AY54" s="83"/>
      <c r="AZ54" s="75">
        <v>10000</v>
      </c>
      <c r="BA54" s="75"/>
      <c r="BB54" s="77"/>
      <c r="BC54" s="75"/>
      <c r="BD54" s="75"/>
      <c r="BE54" s="77"/>
      <c r="BF54" s="75"/>
      <c r="BG54" s="75"/>
      <c r="BH54" s="77"/>
      <c r="BI54" s="77"/>
      <c r="BJ54" s="75"/>
      <c r="BK54" s="75"/>
      <c r="BL54" s="83"/>
      <c r="BM54" s="84">
        <v>0.4</v>
      </c>
      <c r="BN54" s="84"/>
      <c r="BO54" s="84"/>
      <c r="BP54" s="85"/>
      <c r="BQ54" s="86"/>
      <c r="BR54" s="86"/>
    </row>
    <row r="55" spans="1:70">
      <c r="A55" s="70" t="s">
        <v>42</v>
      </c>
      <c r="B55" s="70" t="s">
        <v>53</v>
      </c>
      <c r="C55" s="71">
        <v>76</v>
      </c>
      <c r="D55" s="71"/>
      <c r="E55" s="72" t="s">
        <v>97</v>
      </c>
      <c r="F55" s="72"/>
      <c r="G55" s="72"/>
      <c r="H55" s="72"/>
      <c r="I55" s="72"/>
      <c r="J55" s="73">
        <v>1</v>
      </c>
      <c r="K55" s="74">
        <v>278</v>
      </c>
      <c r="L55" s="75">
        <v>250</v>
      </c>
      <c r="M55" s="76">
        <v>15</v>
      </c>
      <c r="N55" s="77">
        <v>4</v>
      </c>
      <c r="O55" s="78" t="s">
        <v>51</v>
      </c>
      <c r="P55" s="87"/>
      <c r="Q55" s="88"/>
      <c r="R55" s="88"/>
      <c r="S55" s="88"/>
      <c r="T55" s="88"/>
      <c r="U55" s="88"/>
      <c r="V55" s="88"/>
      <c r="W55" s="88"/>
      <c r="X55" s="89"/>
      <c r="Y55" s="89"/>
      <c r="Z55" s="82">
        <v>9500</v>
      </c>
      <c r="AA55" s="78" t="s">
        <v>115</v>
      </c>
      <c r="AB55" s="87"/>
      <c r="AC55" s="88"/>
      <c r="AD55" s="88"/>
      <c r="AE55" s="88"/>
      <c r="AF55" s="88">
        <v>5</v>
      </c>
      <c r="AG55" s="88">
        <v>1</v>
      </c>
      <c r="AH55" s="88"/>
      <c r="AI55" s="88"/>
      <c r="AJ55" s="89"/>
      <c r="AK55" s="89"/>
      <c r="AL55" s="82">
        <v>10000</v>
      </c>
      <c r="AM55" s="75">
        <v>1</v>
      </c>
      <c r="AN55" s="75"/>
      <c r="AO55" s="77">
        <v>1</v>
      </c>
      <c r="AP55" s="74"/>
      <c r="AQ55" s="75"/>
      <c r="AR55" s="77"/>
      <c r="AS55" s="75"/>
      <c r="AT55" s="75"/>
      <c r="AU55" s="77"/>
      <c r="AV55" s="77"/>
      <c r="AW55" s="75"/>
      <c r="AX55" s="75"/>
      <c r="AY55" s="83"/>
      <c r="AZ55" s="75">
        <v>13000</v>
      </c>
      <c r="BA55" s="75"/>
      <c r="BB55" s="77">
        <v>15000</v>
      </c>
      <c r="BC55" s="75"/>
      <c r="BD55" s="75"/>
      <c r="BE55" s="77"/>
      <c r="BF55" s="75"/>
      <c r="BG55" s="75"/>
      <c r="BH55" s="77"/>
      <c r="BI55" s="77"/>
      <c r="BJ55" s="75"/>
      <c r="BK55" s="75"/>
      <c r="BL55" s="83"/>
      <c r="BM55" s="84">
        <v>0.45</v>
      </c>
      <c r="BN55" s="84"/>
      <c r="BO55" s="84"/>
      <c r="BP55" s="85"/>
      <c r="BQ55" s="86"/>
      <c r="BR55" s="86"/>
    </row>
    <row r="56" spans="1:70">
      <c r="A56" s="70"/>
      <c r="B56" s="70" t="s">
        <v>105</v>
      </c>
      <c r="C56" s="71">
        <v>5</v>
      </c>
      <c r="D56" s="71" t="s">
        <v>106</v>
      </c>
      <c r="E56" s="72" t="s">
        <v>97</v>
      </c>
      <c r="F56" s="72"/>
      <c r="G56" s="72">
        <v>1</v>
      </c>
      <c r="H56" s="72"/>
      <c r="I56" s="72"/>
      <c r="J56" s="73"/>
      <c r="K56" s="74">
        <v>150</v>
      </c>
      <c r="L56" s="75">
        <v>105</v>
      </c>
      <c r="M56" s="76">
        <v>43</v>
      </c>
      <c r="N56" s="77">
        <v>4</v>
      </c>
      <c r="O56" s="78" t="s">
        <v>51</v>
      </c>
      <c r="P56" s="87"/>
      <c r="Q56" s="88">
        <v>5</v>
      </c>
      <c r="R56" s="88"/>
      <c r="S56" s="88"/>
      <c r="T56" s="88"/>
      <c r="U56" s="88"/>
      <c r="V56" s="88"/>
      <c r="W56" s="88"/>
      <c r="X56" s="89"/>
      <c r="Y56" s="89"/>
      <c r="Z56" s="82">
        <v>1900</v>
      </c>
      <c r="AA56" s="78" t="s">
        <v>51</v>
      </c>
      <c r="AB56" s="87"/>
      <c r="AC56" s="88">
        <v>5</v>
      </c>
      <c r="AD56" s="88"/>
      <c r="AE56" s="88"/>
      <c r="AF56" s="88"/>
      <c r="AG56" s="88"/>
      <c r="AH56" s="88"/>
      <c r="AI56" s="88"/>
      <c r="AJ56" s="89"/>
      <c r="AK56" s="89"/>
      <c r="AL56" s="82">
        <v>2000</v>
      </c>
      <c r="AM56" s="75">
        <v>1</v>
      </c>
      <c r="AN56" s="75"/>
      <c r="AO56" s="77">
        <v>1</v>
      </c>
      <c r="AP56" s="74"/>
      <c r="AQ56" s="75"/>
      <c r="AR56" s="77"/>
      <c r="AS56" s="75"/>
      <c r="AT56" s="75"/>
      <c r="AU56" s="77"/>
      <c r="AV56" s="77"/>
      <c r="AW56" s="75"/>
      <c r="AX56" s="75"/>
      <c r="AY56" s="83"/>
      <c r="AZ56" s="75">
        <v>8000</v>
      </c>
      <c r="BA56" s="75"/>
      <c r="BB56" s="77">
        <v>10000</v>
      </c>
      <c r="BC56" s="75"/>
      <c r="BD56" s="75"/>
      <c r="BE56" s="77"/>
      <c r="BF56" s="75"/>
      <c r="BG56" s="75"/>
      <c r="BH56" s="77"/>
      <c r="BI56" s="77"/>
      <c r="BJ56" s="75"/>
      <c r="BK56" s="75"/>
      <c r="BL56" s="83"/>
      <c r="BM56" s="84">
        <v>0.7</v>
      </c>
      <c r="BN56" s="84"/>
      <c r="BO56" s="84"/>
      <c r="BP56" s="85"/>
      <c r="BQ56" s="86"/>
      <c r="BR56" s="86"/>
    </row>
    <row r="57" spans="1:70">
      <c r="A57" s="70" t="s">
        <v>52</v>
      </c>
      <c r="B57" s="70" t="s">
        <v>116</v>
      </c>
      <c r="C57" s="71">
        <v>32</v>
      </c>
      <c r="D57" s="71" t="s">
        <v>44</v>
      </c>
      <c r="E57" s="72" t="s">
        <v>97</v>
      </c>
      <c r="F57" s="72"/>
      <c r="G57" s="72">
        <v>1</v>
      </c>
      <c r="H57" s="72"/>
      <c r="I57" s="72"/>
      <c r="J57" s="73"/>
      <c r="K57" s="74"/>
      <c r="L57" s="75"/>
      <c r="M57" s="76">
        <v>40</v>
      </c>
      <c r="N57" s="77">
        <v>4</v>
      </c>
      <c r="O57" s="78" t="s">
        <v>74</v>
      </c>
      <c r="P57" s="87"/>
      <c r="Q57" s="88">
        <v>6</v>
      </c>
      <c r="R57" s="88"/>
      <c r="S57" s="88"/>
      <c r="T57" s="88"/>
      <c r="U57" s="88"/>
      <c r="V57" s="88"/>
      <c r="W57" s="88"/>
      <c r="X57" s="89"/>
      <c r="Y57" s="89"/>
      <c r="Z57" s="82"/>
      <c r="AA57" s="78" t="s">
        <v>51</v>
      </c>
      <c r="AB57" s="87"/>
      <c r="AC57" s="88"/>
      <c r="AD57" s="88">
        <v>6</v>
      </c>
      <c r="AE57" s="88"/>
      <c r="AF57" s="88"/>
      <c r="AG57" s="88"/>
      <c r="AH57" s="88"/>
      <c r="AI57" s="88"/>
      <c r="AJ57" s="89"/>
      <c r="AK57" s="89"/>
      <c r="AL57" s="82"/>
      <c r="AM57" s="75">
        <v>1</v>
      </c>
      <c r="AN57" s="75"/>
      <c r="AO57" s="77">
        <v>1</v>
      </c>
      <c r="AP57" s="74"/>
      <c r="AQ57" s="75"/>
      <c r="AR57" s="77"/>
      <c r="AS57" s="75"/>
      <c r="AT57" s="75"/>
      <c r="AU57" s="77"/>
      <c r="AV57" s="77"/>
      <c r="AW57" s="75"/>
      <c r="AX57" s="75"/>
      <c r="AY57" s="83"/>
      <c r="AZ57" s="75">
        <v>10000</v>
      </c>
      <c r="BA57" s="75"/>
      <c r="BB57" s="77">
        <v>20000</v>
      </c>
      <c r="BC57" s="75"/>
      <c r="BD57" s="75"/>
      <c r="BE57" s="77"/>
      <c r="BF57" s="75"/>
      <c r="BG57" s="75"/>
      <c r="BH57" s="77"/>
      <c r="BI57" s="77"/>
      <c r="BJ57" s="75"/>
      <c r="BK57" s="75"/>
      <c r="BL57" s="83"/>
      <c r="BM57" s="84">
        <v>0.4</v>
      </c>
      <c r="BN57" s="84"/>
      <c r="BO57" s="84"/>
      <c r="BP57" s="85"/>
      <c r="BQ57" s="86"/>
      <c r="BR57" s="86"/>
    </row>
    <row r="58" spans="1:70">
      <c r="A58" s="70" t="s">
        <v>42</v>
      </c>
      <c r="B58" s="70" t="s">
        <v>65</v>
      </c>
      <c r="C58" s="71">
        <v>6</v>
      </c>
      <c r="D58" s="71" t="s">
        <v>44</v>
      </c>
      <c r="E58" s="72" t="s">
        <v>97</v>
      </c>
      <c r="F58" s="72"/>
      <c r="G58" s="72">
        <v>1</v>
      </c>
      <c r="H58" s="72"/>
      <c r="I58" s="72">
        <v>1</v>
      </c>
      <c r="J58" s="73"/>
      <c r="K58" s="74">
        <v>90</v>
      </c>
      <c r="L58" s="75">
        <v>90</v>
      </c>
      <c r="M58" s="76">
        <v>100</v>
      </c>
      <c r="N58" s="77">
        <v>4</v>
      </c>
      <c r="O58" s="78" t="s">
        <v>102</v>
      </c>
      <c r="P58" s="87"/>
      <c r="Q58" s="88"/>
      <c r="R58" s="88">
        <v>4.5</v>
      </c>
      <c r="S58" s="88"/>
      <c r="T58" s="88"/>
      <c r="U58" s="88"/>
      <c r="V58" s="88"/>
      <c r="W58" s="88"/>
      <c r="X58" s="89"/>
      <c r="Y58" s="89"/>
      <c r="Z58" s="82">
        <v>1900</v>
      </c>
      <c r="AA58" s="78" t="s">
        <v>102</v>
      </c>
      <c r="AB58" s="87"/>
      <c r="AC58" s="88"/>
      <c r="AD58" s="88">
        <v>4.5</v>
      </c>
      <c r="AE58" s="88"/>
      <c r="AF58" s="88"/>
      <c r="AG58" s="88"/>
      <c r="AH58" s="88"/>
      <c r="AI58" s="88"/>
      <c r="AJ58" s="89"/>
      <c r="AK58" s="89"/>
      <c r="AL58" s="82">
        <v>2000</v>
      </c>
      <c r="AM58" s="75">
        <v>1</v>
      </c>
      <c r="AN58" s="75"/>
      <c r="AO58" s="77">
        <v>2</v>
      </c>
      <c r="AP58" s="74"/>
      <c r="AQ58" s="75"/>
      <c r="AR58" s="77"/>
      <c r="AS58" s="75"/>
      <c r="AT58" s="75"/>
      <c r="AU58" s="77"/>
      <c r="AV58" s="77"/>
      <c r="AW58" s="75"/>
      <c r="AX58" s="75"/>
      <c r="AY58" s="83"/>
      <c r="AZ58" s="75">
        <v>2000</v>
      </c>
      <c r="BA58" s="75"/>
      <c r="BB58" s="77">
        <f>(4000+50000)/AO58</f>
        <v>27000</v>
      </c>
      <c r="BC58" s="75"/>
      <c r="BD58" s="75"/>
      <c r="BE58" s="77"/>
      <c r="BF58" s="75"/>
      <c r="BG58" s="75"/>
      <c r="BH58" s="77"/>
      <c r="BI58" s="77"/>
      <c r="BJ58" s="75"/>
      <c r="BK58" s="75"/>
      <c r="BL58" s="83"/>
      <c r="BM58" s="84">
        <v>0.7</v>
      </c>
      <c r="BN58" s="84"/>
      <c r="BO58" s="84"/>
      <c r="BP58" s="85"/>
      <c r="BQ58" s="86"/>
      <c r="BR58" s="86"/>
    </row>
    <row r="59" spans="1:70">
      <c r="A59" s="70" t="s">
        <v>42</v>
      </c>
      <c r="B59" s="70" t="s">
        <v>117</v>
      </c>
      <c r="C59" s="71"/>
      <c r="D59" s="71"/>
      <c r="E59" s="72" t="s">
        <v>97</v>
      </c>
      <c r="F59" s="72"/>
      <c r="G59" s="72">
        <v>1</v>
      </c>
      <c r="H59" s="72"/>
      <c r="I59" s="72"/>
      <c r="J59" s="73"/>
      <c r="K59" s="74">
        <v>98</v>
      </c>
      <c r="L59" s="75">
        <v>98</v>
      </c>
      <c r="M59" s="76">
        <v>40</v>
      </c>
      <c r="N59" s="77">
        <v>4</v>
      </c>
      <c r="O59" s="78" t="s">
        <v>74</v>
      </c>
      <c r="P59" s="87"/>
      <c r="Q59" s="88">
        <v>6</v>
      </c>
      <c r="R59" s="88"/>
      <c r="S59" s="88"/>
      <c r="T59" s="88"/>
      <c r="U59" s="88"/>
      <c r="V59" s="88"/>
      <c r="W59" s="88"/>
      <c r="X59" s="89"/>
      <c r="Y59" s="89"/>
      <c r="Z59" s="82">
        <v>2500</v>
      </c>
      <c r="AA59" s="78" t="s">
        <v>74</v>
      </c>
      <c r="AB59" s="87"/>
      <c r="AC59" s="88">
        <v>6</v>
      </c>
      <c r="AD59" s="88"/>
      <c r="AE59" s="88"/>
      <c r="AF59" s="88"/>
      <c r="AG59" s="88"/>
      <c r="AH59" s="88"/>
      <c r="AI59" s="88"/>
      <c r="AJ59" s="89"/>
      <c r="AK59" s="89"/>
      <c r="AL59" s="82">
        <v>2500</v>
      </c>
      <c r="AM59" s="75"/>
      <c r="AN59" s="75"/>
      <c r="AO59" s="77">
        <v>1</v>
      </c>
      <c r="AP59" s="74"/>
      <c r="AQ59" s="75"/>
      <c r="AR59" s="77"/>
      <c r="AS59" s="75"/>
      <c r="AT59" s="75"/>
      <c r="AU59" s="77"/>
      <c r="AV59" s="77"/>
      <c r="AW59" s="75"/>
      <c r="AX59" s="75"/>
      <c r="AY59" s="83"/>
      <c r="AZ59" s="75"/>
      <c r="BA59" s="75"/>
      <c r="BB59" s="77">
        <v>11000</v>
      </c>
      <c r="BC59" s="75"/>
      <c r="BD59" s="75"/>
      <c r="BE59" s="77"/>
      <c r="BF59" s="75"/>
      <c r="BG59" s="75"/>
      <c r="BH59" s="77"/>
      <c r="BI59" s="77"/>
      <c r="BJ59" s="75"/>
      <c r="BK59" s="75"/>
      <c r="BL59" s="83"/>
      <c r="BM59" s="84">
        <v>1</v>
      </c>
      <c r="BN59" s="84"/>
      <c r="BO59" s="84"/>
      <c r="BP59" s="85"/>
      <c r="BQ59" s="86"/>
      <c r="BR59" s="86"/>
    </row>
    <row r="60" spans="1:70">
      <c r="A60" s="70" t="s">
        <v>42</v>
      </c>
      <c r="B60" s="70" t="s">
        <v>113</v>
      </c>
      <c r="C60" s="71">
        <v>12</v>
      </c>
      <c r="D60" s="71" t="s">
        <v>44</v>
      </c>
      <c r="E60" s="72" t="s">
        <v>97</v>
      </c>
      <c r="F60" s="72"/>
      <c r="G60" s="72">
        <v>1</v>
      </c>
      <c r="H60" s="72"/>
      <c r="I60" s="72"/>
      <c r="J60" s="73"/>
      <c r="K60" s="74">
        <v>140</v>
      </c>
      <c r="L60" s="75">
        <v>140</v>
      </c>
      <c r="M60" s="76">
        <v>75</v>
      </c>
      <c r="N60" s="77">
        <v>6</v>
      </c>
      <c r="O60" s="78" t="s">
        <v>102</v>
      </c>
      <c r="P60" s="87"/>
      <c r="Q60" s="88"/>
      <c r="R60" s="88">
        <v>4.5</v>
      </c>
      <c r="S60" s="88">
        <v>0.2</v>
      </c>
      <c r="T60" s="88"/>
      <c r="U60" s="88"/>
      <c r="V60" s="88"/>
      <c r="W60" s="88">
        <v>144</v>
      </c>
      <c r="X60" s="89"/>
      <c r="Y60" s="89"/>
      <c r="Z60" s="82">
        <v>2000</v>
      </c>
      <c r="AA60" s="78" t="s">
        <v>102</v>
      </c>
      <c r="AB60" s="87"/>
      <c r="AC60" s="88"/>
      <c r="AD60" s="88">
        <v>4.5</v>
      </c>
      <c r="AE60" s="88">
        <v>0.2</v>
      </c>
      <c r="AF60" s="88"/>
      <c r="AG60" s="88"/>
      <c r="AH60" s="88"/>
      <c r="AI60" s="88">
        <v>144</v>
      </c>
      <c r="AJ60" s="89"/>
      <c r="AK60" s="89"/>
      <c r="AL60" s="82">
        <v>2000</v>
      </c>
      <c r="AM60" s="75">
        <v>2</v>
      </c>
      <c r="AN60" s="75"/>
      <c r="AO60" s="77"/>
      <c r="AP60" s="74"/>
      <c r="AQ60" s="75"/>
      <c r="AR60" s="77"/>
      <c r="AS60" s="75"/>
      <c r="AT60" s="75"/>
      <c r="AU60" s="77"/>
      <c r="AV60" s="77"/>
      <c r="AW60" s="75"/>
      <c r="AX60" s="75"/>
      <c r="AY60" s="83"/>
      <c r="AZ60" s="75">
        <v>6000</v>
      </c>
      <c r="BA60" s="75"/>
      <c r="BB60" s="77"/>
      <c r="BC60" s="75"/>
      <c r="BD60" s="75"/>
      <c r="BE60" s="77"/>
      <c r="BF60" s="75"/>
      <c r="BG60" s="75"/>
      <c r="BH60" s="77"/>
      <c r="BI60" s="77"/>
      <c r="BJ60" s="75"/>
      <c r="BK60" s="75"/>
      <c r="BL60" s="83"/>
      <c r="BM60" s="84">
        <v>0.5</v>
      </c>
      <c r="BN60" s="84"/>
      <c r="BO60" s="84"/>
      <c r="BP60" s="85"/>
      <c r="BQ60" s="86"/>
      <c r="BR60" s="86"/>
    </row>
    <row r="61" spans="1:70">
      <c r="A61" s="70" t="s">
        <v>52</v>
      </c>
      <c r="B61" s="70" t="s">
        <v>53</v>
      </c>
      <c r="C61" s="71">
        <v>25</v>
      </c>
      <c r="D61" s="71" t="s">
        <v>44</v>
      </c>
      <c r="E61" s="72" t="s">
        <v>97</v>
      </c>
      <c r="F61" s="72"/>
      <c r="G61" s="72">
        <v>1</v>
      </c>
      <c r="H61" s="72"/>
      <c r="I61" s="72"/>
      <c r="J61" s="73"/>
      <c r="K61" s="74">
        <v>110</v>
      </c>
      <c r="L61" s="75">
        <v>110</v>
      </c>
      <c r="M61" s="76">
        <v>45</v>
      </c>
      <c r="N61" s="77">
        <v>4</v>
      </c>
      <c r="O61" s="78" t="s">
        <v>102</v>
      </c>
      <c r="P61" s="87"/>
      <c r="Q61" s="88"/>
      <c r="R61" s="88">
        <v>6</v>
      </c>
      <c r="S61" s="88"/>
      <c r="T61" s="88"/>
      <c r="U61" s="88"/>
      <c r="V61" s="88"/>
      <c r="W61" s="88"/>
      <c r="X61" s="89"/>
      <c r="Y61" s="89"/>
      <c r="Z61" s="82">
        <v>4500</v>
      </c>
      <c r="AA61" s="78" t="s">
        <v>102</v>
      </c>
      <c r="AB61" s="87"/>
      <c r="AC61" s="88"/>
      <c r="AD61" s="88">
        <v>6</v>
      </c>
      <c r="AE61" s="88"/>
      <c r="AF61" s="88"/>
      <c r="AG61" s="88"/>
      <c r="AH61" s="88"/>
      <c r="AI61" s="88"/>
      <c r="AJ61" s="89"/>
      <c r="AK61" s="89"/>
      <c r="AL61" s="82">
        <v>4000</v>
      </c>
      <c r="AM61" s="75"/>
      <c r="AN61" s="75"/>
      <c r="AO61" s="77">
        <v>1</v>
      </c>
      <c r="AP61" s="74"/>
      <c r="AQ61" s="75"/>
      <c r="AR61" s="77"/>
      <c r="AS61" s="75"/>
      <c r="AT61" s="75"/>
      <c r="AU61" s="77"/>
      <c r="AV61" s="77"/>
      <c r="AW61" s="75"/>
      <c r="AX61" s="75"/>
      <c r="AY61" s="83"/>
      <c r="AZ61" s="75"/>
      <c r="BA61" s="75"/>
      <c r="BB61" s="77">
        <v>16000</v>
      </c>
      <c r="BC61" s="75"/>
      <c r="BD61" s="75"/>
      <c r="BE61" s="77"/>
      <c r="BF61" s="75"/>
      <c r="BG61" s="75"/>
      <c r="BH61" s="77"/>
      <c r="BI61" s="77"/>
      <c r="BJ61" s="75"/>
      <c r="BK61" s="75"/>
      <c r="BL61" s="83"/>
      <c r="BM61" s="84">
        <v>0.75</v>
      </c>
      <c r="BN61" s="84"/>
      <c r="BO61" s="84"/>
      <c r="BP61" s="85"/>
      <c r="BQ61" s="86"/>
      <c r="BR61" s="86"/>
    </row>
    <row r="62" spans="1:70">
      <c r="A62" s="70"/>
      <c r="B62" s="70"/>
      <c r="C62" s="71"/>
      <c r="D62" s="71" t="s">
        <v>44</v>
      </c>
      <c r="E62" s="72" t="s">
        <v>97</v>
      </c>
      <c r="F62" s="72"/>
      <c r="G62" s="72">
        <v>1</v>
      </c>
      <c r="H62" s="72"/>
      <c r="I62" s="72"/>
      <c r="J62" s="73"/>
      <c r="K62" s="74">
        <v>300</v>
      </c>
      <c r="L62" s="75">
        <v>200</v>
      </c>
      <c r="M62" s="76">
        <v>25</v>
      </c>
      <c r="N62" s="77">
        <v>4</v>
      </c>
      <c r="O62" s="78" t="s">
        <v>74</v>
      </c>
      <c r="P62" s="87"/>
      <c r="Q62" s="88">
        <f>4+5</f>
        <v>9</v>
      </c>
      <c r="R62" s="88"/>
      <c r="S62" s="88">
        <v>3</v>
      </c>
      <c r="T62" s="88"/>
      <c r="U62" s="88"/>
      <c r="V62" s="88"/>
      <c r="W62" s="88"/>
      <c r="X62" s="89"/>
      <c r="Y62" s="89"/>
      <c r="Z62" s="82">
        <v>1300</v>
      </c>
      <c r="AA62" s="78" t="s">
        <v>74</v>
      </c>
      <c r="AB62" s="87"/>
      <c r="AC62" s="88">
        <f>6+2</f>
        <v>8</v>
      </c>
      <c r="AD62" s="88"/>
      <c r="AE62" s="88">
        <v>5</v>
      </c>
      <c r="AF62" s="88"/>
      <c r="AG62" s="88"/>
      <c r="AH62" s="88"/>
      <c r="AI62" s="88"/>
      <c r="AJ62" s="89"/>
      <c r="AK62" s="89"/>
      <c r="AL62" s="82">
        <v>1500</v>
      </c>
      <c r="AM62" s="75"/>
      <c r="AN62" s="75"/>
      <c r="AO62" s="77">
        <v>2</v>
      </c>
      <c r="AP62" s="74"/>
      <c r="AQ62" s="75"/>
      <c r="AR62" s="77"/>
      <c r="AS62" s="75"/>
      <c r="AT62" s="75"/>
      <c r="AU62" s="77"/>
      <c r="AV62" s="77"/>
      <c r="AW62" s="75"/>
      <c r="AX62" s="75"/>
      <c r="AY62" s="83"/>
      <c r="AZ62" s="75"/>
      <c r="BA62" s="75"/>
      <c r="BB62" s="77">
        <v>6000</v>
      </c>
      <c r="BC62" s="75"/>
      <c r="BD62" s="75"/>
      <c r="BE62" s="77"/>
      <c r="BF62" s="75"/>
      <c r="BG62" s="75"/>
      <c r="BH62" s="77"/>
      <c r="BI62" s="77"/>
      <c r="BJ62" s="75"/>
      <c r="BK62" s="75"/>
      <c r="BL62" s="83"/>
      <c r="BM62" s="84">
        <v>0.95</v>
      </c>
      <c r="BN62" s="84"/>
      <c r="BO62" s="84"/>
      <c r="BP62" s="85"/>
      <c r="BQ62" s="86"/>
      <c r="BR62" s="86"/>
    </row>
    <row r="63" spans="1:70">
      <c r="A63" s="70" t="s">
        <v>42</v>
      </c>
      <c r="B63" s="70" t="s">
        <v>101</v>
      </c>
      <c r="C63" s="71">
        <v>9</v>
      </c>
      <c r="D63" s="71" t="s">
        <v>44</v>
      </c>
      <c r="E63" s="72" t="s">
        <v>97</v>
      </c>
      <c r="F63" s="72"/>
      <c r="G63" s="72">
        <v>1</v>
      </c>
      <c r="H63" s="72"/>
      <c r="I63" s="72"/>
      <c r="J63" s="73"/>
      <c r="K63" s="74">
        <v>160</v>
      </c>
      <c r="L63" s="75">
        <v>160</v>
      </c>
      <c r="M63" s="76">
        <v>77</v>
      </c>
      <c r="N63" s="77">
        <v>4</v>
      </c>
      <c r="O63" s="78" t="s">
        <v>74</v>
      </c>
      <c r="P63" s="87"/>
      <c r="Q63" s="88">
        <v>6</v>
      </c>
      <c r="R63" s="88"/>
      <c r="S63" s="88">
        <v>1</v>
      </c>
      <c r="T63" s="88"/>
      <c r="U63" s="88"/>
      <c r="V63" s="88"/>
      <c r="W63" s="88"/>
      <c r="X63" s="89"/>
      <c r="Y63" s="89"/>
      <c r="Z63" s="82">
        <v>3200</v>
      </c>
      <c r="AA63" s="78" t="s">
        <v>74</v>
      </c>
      <c r="AB63" s="87"/>
      <c r="AC63" s="88">
        <v>6</v>
      </c>
      <c r="AD63" s="88"/>
      <c r="AE63" s="88">
        <v>1</v>
      </c>
      <c r="AF63" s="88"/>
      <c r="AG63" s="88"/>
      <c r="AH63" s="88"/>
      <c r="AI63" s="88"/>
      <c r="AJ63" s="89"/>
      <c r="AK63" s="89"/>
      <c r="AL63" s="82">
        <v>3400</v>
      </c>
      <c r="AM63" s="75">
        <v>2</v>
      </c>
      <c r="AN63" s="75"/>
      <c r="AO63" s="77"/>
      <c r="AP63" s="74"/>
      <c r="AQ63" s="75"/>
      <c r="AR63" s="77"/>
      <c r="AS63" s="75"/>
      <c r="AT63" s="75"/>
      <c r="AU63" s="77"/>
      <c r="AV63" s="77"/>
      <c r="AW63" s="75"/>
      <c r="AX63" s="75"/>
      <c r="AY63" s="83"/>
      <c r="AZ63" s="75">
        <v>10000</v>
      </c>
      <c r="BA63" s="75"/>
      <c r="BB63" s="77"/>
      <c r="BC63" s="75"/>
      <c r="BD63" s="75"/>
      <c r="BE63" s="77"/>
      <c r="BF63" s="75"/>
      <c r="BG63" s="75"/>
      <c r="BH63" s="77"/>
      <c r="BI63" s="77"/>
      <c r="BJ63" s="75"/>
      <c r="BK63" s="75"/>
      <c r="BL63" s="83"/>
      <c r="BM63" s="84">
        <v>0.8</v>
      </c>
      <c r="BN63" s="84"/>
      <c r="BO63" s="84"/>
      <c r="BP63" s="85"/>
      <c r="BQ63" s="86"/>
      <c r="BR63" s="86"/>
    </row>
    <row r="64" spans="1:70">
      <c r="A64" s="70" t="s">
        <v>52</v>
      </c>
      <c r="B64" s="70" t="s">
        <v>116</v>
      </c>
      <c r="C64" s="71">
        <v>42</v>
      </c>
      <c r="D64" s="71" t="s">
        <v>44</v>
      </c>
      <c r="E64" s="72" t="s">
        <v>97</v>
      </c>
      <c r="F64" s="72"/>
      <c r="G64" s="72"/>
      <c r="H64" s="72"/>
      <c r="I64" s="72"/>
      <c r="J64" s="73"/>
      <c r="K64" s="74"/>
      <c r="L64" s="75"/>
      <c r="M64" s="76"/>
      <c r="N64" s="77">
        <v>4</v>
      </c>
      <c r="O64" s="78" t="s">
        <v>74</v>
      </c>
      <c r="P64" s="87"/>
      <c r="Q64" s="88"/>
      <c r="R64" s="88"/>
      <c r="S64" s="88"/>
      <c r="T64" s="88"/>
      <c r="U64" s="88"/>
      <c r="V64" s="88"/>
      <c r="W64" s="88"/>
      <c r="X64" s="89"/>
      <c r="Y64" s="89"/>
      <c r="Z64" s="82"/>
      <c r="AA64" s="78" t="s">
        <v>74</v>
      </c>
      <c r="AB64" s="87"/>
      <c r="AC64" s="88">
        <v>3</v>
      </c>
      <c r="AD64" s="88"/>
      <c r="AE64" s="88">
        <v>10</v>
      </c>
      <c r="AF64" s="88"/>
      <c r="AG64" s="88"/>
      <c r="AH64" s="88"/>
      <c r="AI64" s="88"/>
      <c r="AJ64" s="89"/>
      <c r="AK64" s="89"/>
      <c r="AL64" s="82">
        <v>1300</v>
      </c>
      <c r="AM64" s="75">
        <v>1</v>
      </c>
      <c r="AN64" s="75">
        <v>1</v>
      </c>
      <c r="AO64" s="77"/>
      <c r="AP64" s="74"/>
      <c r="AQ64" s="75"/>
      <c r="AR64" s="77"/>
      <c r="AS64" s="75"/>
      <c r="AT64" s="75"/>
      <c r="AU64" s="77"/>
      <c r="AV64" s="77"/>
      <c r="AW64" s="75"/>
      <c r="AX64" s="75"/>
      <c r="AY64" s="83"/>
      <c r="AZ64" s="75">
        <v>10000</v>
      </c>
      <c r="BA64" s="75">
        <v>30000</v>
      </c>
      <c r="BB64" s="77"/>
      <c r="BC64" s="75"/>
      <c r="BD64" s="75"/>
      <c r="BE64" s="77"/>
      <c r="BF64" s="75"/>
      <c r="BG64" s="75"/>
      <c r="BH64" s="77"/>
      <c r="BI64" s="77"/>
      <c r="BJ64" s="75"/>
      <c r="BK64" s="75"/>
      <c r="BL64" s="83"/>
      <c r="BM64" s="84">
        <v>0.1</v>
      </c>
      <c r="BN64" s="84"/>
      <c r="BO64" s="84"/>
      <c r="BP64" s="85"/>
      <c r="BQ64" s="86"/>
      <c r="BR64" s="86"/>
    </row>
    <row r="65" spans="1:70">
      <c r="A65" s="70" t="s">
        <v>42</v>
      </c>
      <c r="B65" s="70" t="s">
        <v>65</v>
      </c>
      <c r="C65" s="71">
        <v>24</v>
      </c>
      <c r="D65" s="71" t="s">
        <v>44</v>
      </c>
      <c r="E65" s="72" t="s">
        <v>97</v>
      </c>
      <c r="F65" s="72"/>
      <c r="G65" s="72">
        <v>1</v>
      </c>
      <c r="H65" s="72"/>
      <c r="I65" s="72"/>
      <c r="J65" s="73"/>
      <c r="K65" s="74">
        <v>200</v>
      </c>
      <c r="L65" s="75">
        <v>200</v>
      </c>
      <c r="M65" s="76">
        <v>66</v>
      </c>
      <c r="N65" s="77">
        <v>5</v>
      </c>
      <c r="O65" s="78" t="s">
        <v>74</v>
      </c>
      <c r="P65" s="87"/>
      <c r="Q65" s="88">
        <v>6</v>
      </c>
      <c r="R65" s="88"/>
      <c r="S65" s="88">
        <v>2</v>
      </c>
      <c r="T65" s="88"/>
      <c r="U65" s="88"/>
      <c r="V65" s="88"/>
      <c r="W65" s="88"/>
      <c r="X65" s="89"/>
      <c r="Y65" s="89"/>
      <c r="Z65" s="82"/>
      <c r="AA65" s="78" t="s">
        <v>74</v>
      </c>
      <c r="AB65" s="87"/>
      <c r="AC65" s="88">
        <v>6</v>
      </c>
      <c r="AD65" s="88"/>
      <c r="AE65" s="88">
        <v>2</v>
      </c>
      <c r="AF65" s="88"/>
      <c r="AG65" s="88"/>
      <c r="AH65" s="88"/>
      <c r="AI65" s="88"/>
      <c r="AJ65" s="89"/>
      <c r="AK65" s="89"/>
      <c r="AL65" s="82"/>
      <c r="AM65" s="75">
        <v>1</v>
      </c>
      <c r="AN65" s="75">
        <v>1</v>
      </c>
      <c r="AO65" s="77"/>
      <c r="AP65" s="74"/>
      <c r="AQ65" s="75"/>
      <c r="AR65" s="77"/>
      <c r="AS65" s="75"/>
      <c r="AT65" s="75"/>
      <c r="AU65" s="77"/>
      <c r="AV65" s="77"/>
      <c r="AW65" s="75"/>
      <c r="AX65" s="75"/>
      <c r="AY65" s="83"/>
      <c r="AZ65" s="75">
        <v>12000</v>
      </c>
      <c r="BA65" s="75">
        <v>30000</v>
      </c>
      <c r="BB65" s="77"/>
      <c r="BC65" s="75"/>
      <c r="BD65" s="75"/>
      <c r="BE65" s="77"/>
      <c r="BF65" s="75"/>
      <c r="BG65" s="75"/>
      <c r="BH65" s="77"/>
      <c r="BI65" s="77"/>
      <c r="BJ65" s="75"/>
      <c r="BK65" s="75"/>
      <c r="BL65" s="83"/>
      <c r="BM65" s="84">
        <v>0.35</v>
      </c>
      <c r="BN65" s="84"/>
      <c r="BO65" s="84"/>
      <c r="BP65" s="85"/>
      <c r="BQ65" s="86"/>
      <c r="BR65" s="86"/>
    </row>
    <row r="66" spans="1:70">
      <c r="A66" s="70" t="s">
        <v>42</v>
      </c>
      <c r="B66" s="70" t="s">
        <v>92</v>
      </c>
      <c r="C66" s="71">
        <v>1</v>
      </c>
      <c r="D66" s="71" t="s">
        <v>44</v>
      </c>
      <c r="E66" s="72" t="s">
        <v>97</v>
      </c>
      <c r="F66" s="72"/>
      <c r="G66" s="72">
        <v>1</v>
      </c>
      <c r="H66" s="72"/>
      <c r="I66" s="72"/>
      <c r="J66" s="73"/>
      <c r="K66" s="74">
        <v>120</v>
      </c>
      <c r="L66" s="75">
        <v>110</v>
      </c>
      <c r="M66" s="76">
        <v>64</v>
      </c>
      <c r="N66" s="77">
        <v>4</v>
      </c>
      <c r="O66" s="78" t="s">
        <v>74</v>
      </c>
      <c r="P66" s="87"/>
      <c r="Q66" s="88">
        <v>6</v>
      </c>
      <c r="R66" s="88"/>
      <c r="S66" s="88"/>
      <c r="T66" s="88"/>
      <c r="U66" s="88"/>
      <c r="V66" s="88"/>
      <c r="W66" s="88"/>
      <c r="X66" s="89"/>
      <c r="Y66" s="89"/>
      <c r="Z66" s="82"/>
      <c r="AA66" s="78" t="s">
        <v>74</v>
      </c>
      <c r="AB66" s="87"/>
      <c r="AC66" s="88">
        <v>6</v>
      </c>
      <c r="AD66" s="88"/>
      <c r="AE66" s="88"/>
      <c r="AF66" s="88"/>
      <c r="AG66" s="88"/>
      <c r="AH66" s="88"/>
      <c r="AI66" s="88"/>
      <c r="AJ66" s="89"/>
      <c r="AK66" s="89"/>
      <c r="AL66" s="82">
        <v>4560</v>
      </c>
      <c r="AM66" s="75"/>
      <c r="AN66" s="75"/>
      <c r="AO66" s="77">
        <v>1</v>
      </c>
      <c r="AP66" s="74"/>
      <c r="AQ66" s="75"/>
      <c r="AR66" s="77"/>
      <c r="AS66" s="75"/>
      <c r="AT66" s="75"/>
      <c r="AU66" s="77"/>
      <c r="AV66" s="77"/>
      <c r="AW66" s="75"/>
      <c r="AX66" s="75"/>
      <c r="AY66" s="83"/>
      <c r="AZ66" s="75"/>
      <c r="BA66" s="75"/>
      <c r="BB66" s="77">
        <v>10000</v>
      </c>
      <c r="BC66" s="75"/>
      <c r="BD66" s="75"/>
      <c r="BE66" s="77"/>
      <c r="BF66" s="75"/>
      <c r="BG66" s="75"/>
      <c r="BH66" s="77"/>
      <c r="BI66" s="77"/>
      <c r="BJ66" s="75"/>
      <c r="BK66" s="75"/>
      <c r="BL66" s="83"/>
      <c r="BM66" s="84">
        <v>0.7</v>
      </c>
      <c r="BN66" s="84"/>
      <c r="BO66" s="84"/>
      <c r="BP66" s="85"/>
      <c r="BQ66" s="86"/>
      <c r="BR66" s="86"/>
    </row>
    <row r="67" spans="1:70">
      <c r="A67" s="70" t="s">
        <v>42</v>
      </c>
      <c r="B67" s="70" t="s">
        <v>86</v>
      </c>
      <c r="C67" s="71">
        <v>43</v>
      </c>
      <c r="D67" s="71" t="s">
        <v>44</v>
      </c>
      <c r="E67" s="72" t="s">
        <v>97</v>
      </c>
      <c r="F67" s="72"/>
      <c r="G67" s="72">
        <v>1</v>
      </c>
      <c r="H67" s="72"/>
      <c r="I67" s="72"/>
      <c r="J67" s="73"/>
      <c r="K67" s="74">
        <v>116</v>
      </c>
      <c r="L67" s="75">
        <v>116</v>
      </c>
      <c r="M67" s="76">
        <v>52</v>
      </c>
      <c r="N67" s="77">
        <v>6</v>
      </c>
      <c r="O67" s="78" t="s">
        <v>74</v>
      </c>
      <c r="P67" s="87"/>
      <c r="Q67" s="88">
        <v>6</v>
      </c>
      <c r="R67" s="88"/>
      <c r="S67" s="88">
        <v>3</v>
      </c>
      <c r="T67" s="88"/>
      <c r="U67" s="88"/>
      <c r="V67" s="88"/>
      <c r="W67" s="88"/>
      <c r="X67" s="89"/>
      <c r="Y67" s="89"/>
      <c r="Z67" s="82">
        <v>2000</v>
      </c>
      <c r="AA67" s="78" t="s">
        <v>74</v>
      </c>
      <c r="AB67" s="87"/>
      <c r="AC67" s="88">
        <v>6</v>
      </c>
      <c r="AD67" s="88"/>
      <c r="AE67" s="88">
        <v>5</v>
      </c>
      <c r="AF67" s="88"/>
      <c r="AG67" s="88"/>
      <c r="AH67" s="88"/>
      <c r="AI67" s="88"/>
      <c r="AJ67" s="89"/>
      <c r="AK67" s="89"/>
      <c r="AL67" s="82">
        <v>2800</v>
      </c>
      <c r="AM67" s="75">
        <v>2</v>
      </c>
      <c r="AN67" s="75"/>
      <c r="AO67" s="77">
        <v>1</v>
      </c>
      <c r="AP67" s="74"/>
      <c r="AQ67" s="75"/>
      <c r="AR67" s="77"/>
      <c r="AS67" s="75"/>
      <c r="AT67" s="75"/>
      <c r="AU67" s="77"/>
      <c r="AV67" s="77"/>
      <c r="AW67" s="75"/>
      <c r="AX67" s="75"/>
      <c r="AY67" s="83"/>
      <c r="AZ67" s="75">
        <v>12000</v>
      </c>
      <c r="BA67" s="75"/>
      <c r="BB67" s="77">
        <v>25000</v>
      </c>
      <c r="BC67" s="75"/>
      <c r="BD67" s="75"/>
      <c r="BE67" s="77"/>
      <c r="BF67" s="75"/>
      <c r="BG67" s="75"/>
      <c r="BH67" s="77"/>
      <c r="BI67" s="77"/>
      <c r="BJ67" s="75"/>
      <c r="BK67" s="75"/>
      <c r="BL67" s="83"/>
      <c r="BM67" s="84">
        <v>0.7</v>
      </c>
      <c r="BN67" s="84"/>
      <c r="BO67" s="84"/>
      <c r="BP67" s="85"/>
      <c r="BQ67" s="86"/>
      <c r="BR67" s="86"/>
    </row>
    <row r="68" spans="1:70">
      <c r="A68" s="70"/>
      <c r="C68" s="71"/>
      <c r="D68" s="71" t="s">
        <v>44</v>
      </c>
      <c r="E68" s="72" t="s">
        <v>97</v>
      </c>
      <c r="F68" s="72"/>
      <c r="G68" s="72">
        <v>1</v>
      </c>
      <c r="H68" s="72"/>
      <c r="I68" s="72"/>
      <c r="J68" s="73"/>
      <c r="K68" s="74">
        <v>120</v>
      </c>
      <c r="L68" s="75">
        <v>110</v>
      </c>
      <c r="M68" s="76">
        <v>86</v>
      </c>
      <c r="N68" s="77">
        <v>4</v>
      </c>
      <c r="O68" s="78" t="s">
        <v>60</v>
      </c>
      <c r="P68" s="87"/>
      <c r="Q68" s="88"/>
      <c r="R68" s="88"/>
      <c r="S68" s="88"/>
      <c r="T68" s="88"/>
      <c r="U68" s="88"/>
      <c r="V68" s="88"/>
      <c r="W68" s="88"/>
      <c r="X68" s="89"/>
      <c r="Y68" s="89"/>
      <c r="Z68" s="82"/>
      <c r="AA68" s="78" t="s">
        <v>60</v>
      </c>
      <c r="AB68" s="87"/>
      <c r="AC68" s="88">
        <v>5.5</v>
      </c>
      <c r="AD68" s="88"/>
      <c r="AE68" s="88"/>
      <c r="AF68" s="88"/>
      <c r="AG68" s="88"/>
      <c r="AH68" s="88"/>
      <c r="AI68" s="88"/>
      <c r="AJ68" s="89"/>
      <c r="AK68" s="89"/>
      <c r="AL68" s="82"/>
      <c r="AM68" s="75">
        <v>1</v>
      </c>
      <c r="AN68" s="75"/>
      <c r="AO68" s="77"/>
      <c r="AP68" s="74"/>
      <c r="AQ68" s="75"/>
      <c r="AR68" s="77"/>
      <c r="AS68" s="75"/>
      <c r="AT68" s="75"/>
      <c r="AU68" s="77"/>
      <c r="AV68" s="77"/>
      <c r="AW68" s="75"/>
      <c r="AX68" s="75"/>
      <c r="AY68" s="83"/>
      <c r="AZ68" s="75">
        <v>3500</v>
      </c>
      <c r="BA68" s="75"/>
      <c r="BB68" s="77"/>
      <c r="BC68" s="75"/>
      <c r="BD68" s="75"/>
      <c r="BE68" s="77"/>
      <c r="BF68" s="75"/>
      <c r="BG68" s="75"/>
      <c r="BH68" s="77"/>
      <c r="BI68" s="77"/>
      <c r="BJ68" s="75"/>
      <c r="BK68" s="75"/>
      <c r="BL68" s="83"/>
      <c r="BM68" s="84">
        <v>0.6</v>
      </c>
      <c r="BN68" s="84"/>
      <c r="BO68" s="84"/>
      <c r="BP68" s="85"/>
      <c r="BQ68" s="86"/>
      <c r="BR68" s="86"/>
    </row>
    <row r="69" spans="1:70">
      <c r="A69" s="70"/>
      <c r="B69" s="70" t="s">
        <v>118</v>
      </c>
      <c r="C69" s="71"/>
      <c r="D69" s="71" t="s">
        <v>44</v>
      </c>
      <c r="E69" s="72" t="s">
        <v>97</v>
      </c>
      <c r="F69" s="72"/>
      <c r="G69" s="72">
        <v>1</v>
      </c>
      <c r="H69" s="72"/>
      <c r="I69" s="72"/>
      <c r="J69" s="73"/>
      <c r="K69" s="74">
        <v>200</v>
      </c>
      <c r="L69" s="75">
        <v>200</v>
      </c>
      <c r="M69" s="76">
        <v>40</v>
      </c>
      <c r="N69" s="77">
        <v>6</v>
      </c>
      <c r="O69" s="78" t="s">
        <v>74</v>
      </c>
      <c r="P69" s="87"/>
      <c r="Q69" s="88">
        <v>8</v>
      </c>
      <c r="R69" s="88"/>
      <c r="S69" s="88"/>
      <c r="T69" s="88"/>
      <c r="U69" s="88"/>
      <c r="V69" s="88"/>
      <c r="W69" s="88"/>
      <c r="X69" s="89"/>
      <c r="Y69" s="89"/>
      <c r="Z69" s="82"/>
      <c r="AA69" s="78" t="s">
        <v>74</v>
      </c>
      <c r="AB69" s="87"/>
      <c r="AC69" s="88">
        <v>7</v>
      </c>
      <c r="AD69" s="88"/>
      <c r="AE69" s="88"/>
      <c r="AF69" s="88"/>
      <c r="AG69" s="88"/>
      <c r="AH69" s="88"/>
      <c r="AI69" s="88"/>
      <c r="AJ69" s="89"/>
      <c r="AK69" s="89"/>
      <c r="AL69" s="82"/>
      <c r="AM69" s="75">
        <v>2</v>
      </c>
      <c r="AN69" s="75"/>
      <c r="AO69" s="77"/>
      <c r="AP69" s="74"/>
      <c r="AQ69" s="75"/>
      <c r="AR69" s="77"/>
      <c r="AS69" s="75"/>
      <c r="AT69" s="75"/>
      <c r="AU69" s="77"/>
      <c r="AV69" s="77"/>
      <c r="AW69" s="75"/>
      <c r="AX69" s="75"/>
      <c r="AY69" s="83"/>
      <c r="AZ69" s="75">
        <v>20000</v>
      </c>
      <c r="BA69" s="75"/>
      <c r="BB69" s="77"/>
      <c r="BC69" s="75"/>
      <c r="BD69" s="75"/>
      <c r="BE69" s="77"/>
      <c r="BF69" s="75"/>
      <c r="BG69" s="75"/>
      <c r="BH69" s="77"/>
      <c r="BI69" s="77"/>
      <c r="BJ69" s="75"/>
      <c r="BK69" s="75"/>
      <c r="BL69" s="83"/>
      <c r="BM69" s="84">
        <v>0.75</v>
      </c>
      <c r="BN69" s="84"/>
      <c r="BO69" s="84"/>
      <c r="BP69" s="85"/>
      <c r="BQ69" s="86"/>
      <c r="BR69" s="86"/>
    </row>
    <row r="70" spans="1:70">
      <c r="A70" s="70"/>
      <c r="B70" s="70" t="s">
        <v>110</v>
      </c>
      <c r="C70" s="71">
        <v>19</v>
      </c>
      <c r="D70" s="71" t="s">
        <v>44</v>
      </c>
      <c r="E70" s="72" t="s">
        <v>97</v>
      </c>
      <c r="F70" s="72"/>
      <c r="G70" s="72">
        <v>1</v>
      </c>
      <c r="H70" s="72"/>
      <c r="I70" s="72"/>
      <c r="J70" s="73"/>
      <c r="K70" s="74">
        <v>160</v>
      </c>
      <c r="L70" s="75">
        <v>160</v>
      </c>
      <c r="M70" s="76">
        <v>60</v>
      </c>
      <c r="N70" s="77">
        <v>5</v>
      </c>
      <c r="O70" s="78" t="s">
        <v>74</v>
      </c>
      <c r="P70" s="87"/>
      <c r="Q70" s="88">
        <v>6</v>
      </c>
      <c r="R70" s="88"/>
      <c r="S70" s="88"/>
      <c r="T70" s="88"/>
      <c r="U70" s="88"/>
      <c r="V70" s="88"/>
      <c r="W70" s="88"/>
      <c r="X70" s="89"/>
      <c r="Y70" s="89"/>
      <c r="Z70" s="82"/>
      <c r="AA70" s="78" t="s">
        <v>74</v>
      </c>
      <c r="AB70" s="87"/>
      <c r="AC70" s="88">
        <v>6</v>
      </c>
      <c r="AD70" s="88"/>
      <c r="AE70" s="88"/>
      <c r="AF70" s="88"/>
      <c r="AG70" s="88"/>
      <c r="AH70" s="88"/>
      <c r="AI70" s="88"/>
      <c r="AJ70" s="89"/>
      <c r="AK70" s="89"/>
      <c r="AL70" s="82"/>
      <c r="AM70" s="75">
        <v>1</v>
      </c>
      <c r="AN70" s="75"/>
      <c r="AO70" s="77"/>
      <c r="AP70" s="74"/>
      <c r="AQ70" s="75"/>
      <c r="AR70" s="77"/>
      <c r="AS70" s="75"/>
      <c r="AT70" s="75"/>
      <c r="AU70" s="77"/>
      <c r="AV70" s="77"/>
      <c r="AW70" s="75"/>
      <c r="AX70" s="75"/>
      <c r="AY70" s="83"/>
      <c r="AZ70" s="75">
        <v>15000</v>
      </c>
      <c r="BA70" s="75"/>
      <c r="BB70" s="77"/>
      <c r="BC70" s="75"/>
      <c r="BD70" s="75"/>
      <c r="BE70" s="77"/>
      <c r="BF70" s="75"/>
      <c r="BG70" s="75"/>
      <c r="BH70" s="77"/>
      <c r="BI70" s="77"/>
      <c r="BJ70" s="75"/>
      <c r="BK70" s="75"/>
      <c r="BL70" s="83"/>
      <c r="BM70" s="84">
        <v>0.75</v>
      </c>
      <c r="BN70" s="84"/>
      <c r="BO70" s="84"/>
      <c r="BP70" s="85"/>
      <c r="BQ70" s="86"/>
      <c r="BR70" s="86"/>
    </row>
    <row r="71" spans="1:70">
      <c r="A71" s="70"/>
      <c r="B71" s="70" t="s">
        <v>119</v>
      </c>
      <c r="C71" s="71">
        <v>5</v>
      </c>
      <c r="D71" s="71" t="s">
        <v>44</v>
      </c>
      <c r="E71" s="72" t="s">
        <v>97</v>
      </c>
      <c r="F71" s="72"/>
      <c r="G71" s="72">
        <v>1</v>
      </c>
      <c r="H71" s="72"/>
      <c r="I71" s="72"/>
      <c r="J71" s="73"/>
      <c r="K71" s="74">
        <v>150</v>
      </c>
      <c r="L71" s="75">
        <v>140</v>
      </c>
      <c r="M71" s="76"/>
      <c r="N71" s="77">
        <v>5</v>
      </c>
      <c r="O71" s="78" t="s">
        <v>74</v>
      </c>
      <c r="P71" s="87"/>
      <c r="Q71" s="88"/>
      <c r="R71" s="88"/>
      <c r="S71" s="88"/>
      <c r="T71" s="88"/>
      <c r="U71" s="88"/>
      <c r="V71" s="88"/>
      <c r="W71" s="88"/>
      <c r="X71" s="89"/>
      <c r="Y71" s="89"/>
      <c r="Z71" s="82"/>
      <c r="AA71" s="78" t="s">
        <v>74</v>
      </c>
      <c r="AB71" s="87"/>
      <c r="AC71" s="88"/>
      <c r="AD71" s="88"/>
      <c r="AE71" s="88"/>
      <c r="AF71" s="88"/>
      <c r="AG71" s="88"/>
      <c r="AH71" s="88"/>
      <c r="AI71" s="88"/>
      <c r="AJ71" s="89"/>
      <c r="AK71" s="89"/>
      <c r="AL71" s="82"/>
      <c r="AM71" s="75">
        <v>1</v>
      </c>
      <c r="AN71" s="75"/>
      <c r="AO71" s="77"/>
      <c r="AP71" s="74"/>
      <c r="AQ71" s="75"/>
      <c r="AR71" s="77"/>
      <c r="AS71" s="75"/>
      <c r="AT71" s="75"/>
      <c r="AU71" s="77"/>
      <c r="AV71" s="77"/>
      <c r="AW71" s="75"/>
      <c r="AX71" s="75"/>
      <c r="AY71" s="83"/>
      <c r="AZ71" s="75">
        <v>2000</v>
      </c>
      <c r="BA71" s="75"/>
      <c r="BB71" s="77"/>
      <c r="BC71" s="75"/>
      <c r="BD71" s="75"/>
      <c r="BE71" s="77"/>
      <c r="BF71" s="75"/>
      <c r="BG71" s="75"/>
      <c r="BH71" s="77"/>
      <c r="BI71" s="77"/>
      <c r="BJ71" s="75"/>
      <c r="BK71" s="75"/>
      <c r="BL71" s="83"/>
      <c r="BM71" s="84">
        <v>0.5</v>
      </c>
      <c r="BN71" s="84"/>
      <c r="BO71" s="84"/>
      <c r="BP71" s="85"/>
      <c r="BQ71" s="86"/>
      <c r="BR71" s="86"/>
    </row>
    <row r="72" spans="1:70">
      <c r="A72" s="70" t="s">
        <v>42</v>
      </c>
      <c r="B72" s="70" t="s">
        <v>43</v>
      </c>
      <c r="C72" s="71">
        <v>2</v>
      </c>
      <c r="D72" s="71" t="s">
        <v>44</v>
      </c>
      <c r="E72" s="72" t="s">
        <v>97</v>
      </c>
      <c r="F72" s="72"/>
      <c r="G72" s="72">
        <v>1</v>
      </c>
      <c r="H72" s="72"/>
      <c r="I72" s="72"/>
      <c r="J72" s="73"/>
      <c r="K72" s="74">
        <v>100</v>
      </c>
      <c r="L72" s="75">
        <v>70</v>
      </c>
      <c r="M72" s="76">
        <v>110</v>
      </c>
      <c r="N72" s="77">
        <v>4</v>
      </c>
      <c r="O72" s="78" t="s">
        <v>74</v>
      </c>
      <c r="P72" s="87"/>
      <c r="Q72" s="88">
        <v>6</v>
      </c>
      <c r="R72" s="88"/>
      <c r="S72" s="88"/>
      <c r="T72" s="88"/>
      <c r="U72" s="88"/>
      <c r="V72" s="88"/>
      <c r="W72" s="88"/>
      <c r="X72" s="89"/>
      <c r="Y72" s="89"/>
      <c r="Z72" s="82"/>
      <c r="AA72" s="78" t="s">
        <v>120</v>
      </c>
      <c r="AB72" s="87"/>
      <c r="AC72" s="88"/>
      <c r="AD72" s="88">
        <v>10</v>
      </c>
      <c r="AE72" s="88"/>
      <c r="AF72" s="88"/>
      <c r="AG72" s="88"/>
      <c r="AH72" s="88"/>
      <c r="AI72" s="88"/>
      <c r="AJ72" s="89"/>
      <c r="AK72" s="89"/>
      <c r="AL72" s="82"/>
      <c r="AM72" s="75">
        <v>1</v>
      </c>
      <c r="AN72" s="75"/>
      <c r="AO72" s="77">
        <v>1</v>
      </c>
      <c r="AP72" s="74"/>
      <c r="AQ72" s="75"/>
      <c r="AR72" s="77"/>
      <c r="AS72" s="75"/>
      <c r="AT72" s="75"/>
      <c r="AU72" s="77"/>
      <c r="AV72" s="77"/>
      <c r="AW72" s="75"/>
      <c r="AX72" s="75"/>
      <c r="AY72" s="83"/>
      <c r="AZ72" s="75">
        <v>25000</v>
      </c>
      <c r="BA72" s="75"/>
      <c r="BB72" s="77">
        <v>70000</v>
      </c>
      <c r="BC72" s="75"/>
      <c r="BD72" s="75"/>
      <c r="BE72" s="77"/>
      <c r="BF72" s="75"/>
      <c r="BG72" s="75"/>
      <c r="BH72" s="77"/>
      <c r="BI72" s="77"/>
      <c r="BJ72" s="75"/>
      <c r="BK72" s="75"/>
      <c r="BL72" s="83"/>
      <c r="BM72" s="84">
        <v>0.08</v>
      </c>
      <c r="BN72" s="84"/>
      <c r="BO72" s="84"/>
      <c r="BP72" s="85"/>
      <c r="BQ72" s="86"/>
      <c r="BR72" s="86"/>
    </row>
    <row r="73" spans="1:70">
      <c r="A73" s="70" t="s">
        <v>61</v>
      </c>
      <c r="B73" s="70" t="s">
        <v>121</v>
      </c>
      <c r="C73" s="71" t="s">
        <v>122</v>
      </c>
      <c r="D73" s="71" t="s">
        <v>106</v>
      </c>
      <c r="E73" s="72" t="s">
        <v>97</v>
      </c>
      <c r="F73" s="72"/>
      <c r="G73" s="72">
        <v>1</v>
      </c>
      <c r="H73" s="72"/>
      <c r="I73" s="72"/>
      <c r="J73" s="73"/>
      <c r="K73" s="74">
        <v>76</v>
      </c>
      <c r="L73" s="75">
        <v>74</v>
      </c>
      <c r="M73" s="76">
        <v>80</v>
      </c>
      <c r="N73" s="77">
        <v>2</v>
      </c>
      <c r="O73" s="78" t="s">
        <v>123</v>
      </c>
      <c r="P73" s="87"/>
      <c r="Q73" s="88"/>
      <c r="R73" s="88"/>
      <c r="S73" s="88"/>
      <c r="T73" s="88"/>
      <c r="U73" s="88"/>
      <c r="V73" s="88"/>
      <c r="W73" s="88"/>
      <c r="X73" s="89"/>
      <c r="Y73" s="89"/>
      <c r="Z73" s="82"/>
      <c r="AA73" s="78" t="s">
        <v>123</v>
      </c>
      <c r="AB73" s="87"/>
      <c r="AC73" s="88"/>
      <c r="AD73" s="88"/>
      <c r="AE73" s="88"/>
      <c r="AF73" s="88"/>
      <c r="AG73" s="88"/>
      <c r="AH73" s="88"/>
      <c r="AI73" s="88"/>
      <c r="AJ73" s="89"/>
      <c r="AK73" s="89"/>
      <c r="AL73" s="82">
        <v>4500</v>
      </c>
      <c r="AM73" s="75">
        <v>1</v>
      </c>
      <c r="AN73" s="75"/>
      <c r="AO73" s="77"/>
      <c r="AP73" s="74"/>
      <c r="AQ73" s="75"/>
      <c r="AR73" s="77"/>
      <c r="AS73" s="75"/>
      <c r="AT73" s="75"/>
      <c r="AU73" s="77"/>
      <c r="AV73" s="77"/>
      <c r="AW73" s="75"/>
      <c r="AX73" s="75"/>
      <c r="AY73" s="83"/>
      <c r="AZ73" s="75">
        <v>15000</v>
      </c>
      <c r="BA73" s="75"/>
      <c r="BB73" s="77"/>
      <c r="BC73" s="75"/>
      <c r="BD73" s="75"/>
      <c r="BE73" s="77"/>
      <c r="BF73" s="75"/>
      <c r="BG73" s="75"/>
      <c r="BH73" s="77"/>
      <c r="BI73" s="77"/>
      <c r="BJ73" s="75"/>
      <c r="BK73" s="75"/>
      <c r="BL73" s="83"/>
      <c r="BM73" s="84"/>
      <c r="BN73" s="84"/>
      <c r="BO73" s="84"/>
      <c r="BP73" s="85"/>
      <c r="BQ73" s="86"/>
      <c r="BR73" s="86"/>
    </row>
    <row r="74" spans="1:70">
      <c r="A74" s="70"/>
      <c r="B74" s="70" t="s">
        <v>62</v>
      </c>
      <c r="C74" s="71" t="s">
        <v>124</v>
      </c>
      <c r="D74" s="71" t="s">
        <v>106</v>
      </c>
      <c r="E74" s="72" t="s">
        <v>97</v>
      </c>
      <c r="F74" s="72"/>
      <c r="G74" s="72">
        <v>1</v>
      </c>
      <c r="H74" s="72"/>
      <c r="I74" s="72"/>
      <c r="J74" s="73"/>
      <c r="K74" s="74">
        <v>109</v>
      </c>
      <c r="L74" s="75">
        <v>109</v>
      </c>
      <c r="M74" s="76">
        <v>57</v>
      </c>
      <c r="N74" s="77">
        <v>5</v>
      </c>
      <c r="O74" s="78" t="s">
        <v>60</v>
      </c>
      <c r="P74" s="87"/>
      <c r="Q74" s="88">
        <v>5</v>
      </c>
      <c r="R74" s="88"/>
      <c r="S74" s="88"/>
      <c r="T74" s="88"/>
      <c r="U74" s="88"/>
      <c r="V74" s="88"/>
      <c r="W74" s="88"/>
      <c r="X74" s="89"/>
      <c r="Y74" s="89"/>
      <c r="Z74" s="82">
        <v>4278</v>
      </c>
      <c r="AA74" s="78" t="s">
        <v>60</v>
      </c>
      <c r="AB74" s="87"/>
      <c r="AC74" s="88">
        <v>5</v>
      </c>
      <c r="AD74" s="88"/>
      <c r="AE74" s="88"/>
      <c r="AF74" s="88"/>
      <c r="AG74" s="88"/>
      <c r="AH74" s="88"/>
      <c r="AI74" s="88"/>
      <c r="AJ74" s="89"/>
      <c r="AK74" s="89"/>
      <c r="AL74" s="82">
        <v>3581</v>
      </c>
      <c r="AM74" s="75">
        <v>1</v>
      </c>
      <c r="AN74" s="75"/>
      <c r="AO74" s="77">
        <v>1</v>
      </c>
      <c r="AP74" s="74"/>
      <c r="AQ74" s="75"/>
      <c r="AR74" s="77"/>
      <c r="AS74" s="75"/>
      <c r="AT74" s="75"/>
      <c r="AU74" s="77"/>
      <c r="AV74" s="77"/>
      <c r="AW74" s="75"/>
      <c r="AX74" s="75"/>
      <c r="AY74" s="83"/>
      <c r="AZ74" s="75">
        <v>5000</v>
      </c>
      <c r="BA74" s="75"/>
      <c r="BB74" s="77">
        <v>17000</v>
      </c>
      <c r="BC74" s="75"/>
      <c r="BD74" s="75"/>
      <c r="BE74" s="77"/>
      <c r="BF74" s="75"/>
      <c r="BG74" s="75"/>
      <c r="BH74" s="77"/>
      <c r="BI74" s="77"/>
      <c r="BJ74" s="75"/>
      <c r="BK74" s="75"/>
      <c r="BL74" s="83"/>
      <c r="BM74" s="84">
        <v>0.15</v>
      </c>
      <c r="BN74" s="84"/>
      <c r="BO74" s="84"/>
      <c r="BP74" s="85"/>
      <c r="BQ74" s="86"/>
      <c r="BR74" s="86"/>
    </row>
    <row r="75" spans="1:70">
      <c r="A75" s="70"/>
      <c r="B75" s="70" t="s">
        <v>105</v>
      </c>
      <c r="C75" s="71"/>
      <c r="D75" s="71" t="s">
        <v>106</v>
      </c>
      <c r="E75" s="72" t="s">
        <v>97</v>
      </c>
      <c r="F75" s="72"/>
      <c r="G75" s="72"/>
      <c r="H75" s="72"/>
      <c r="I75" s="72">
        <v>1</v>
      </c>
      <c r="J75" s="73"/>
      <c r="K75" s="74">
        <v>120</v>
      </c>
      <c r="L75" s="75"/>
      <c r="M75" s="76">
        <v>40</v>
      </c>
      <c r="N75" s="77">
        <v>6</v>
      </c>
      <c r="O75" s="78" t="s">
        <v>74</v>
      </c>
      <c r="P75" s="87"/>
      <c r="Q75" s="88">
        <v>10</v>
      </c>
      <c r="R75" s="88"/>
      <c r="S75" s="88"/>
      <c r="T75" s="88"/>
      <c r="U75" s="88"/>
      <c r="V75" s="88"/>
      <c r="W75" s="88"/>
      <c r="X75" s="89"/>
      <c r="Y75" s="89"/>
      <c r="Z75" s="82"/>
      <c r="AA75" s="78" t="s">
        <v>60</v>
      </c>
      <c r="AB75" s="87"/>
      <c r="AC75" s="88">
        <v>10</v>
      </c>
      <c r="AD75" s="88"/>
      <c r="AE75" s="88"/>
      <c r="AF75" s="88"/>
      <c r="AG75" s="88"/>
      <c r="AH75" s="88"/>
      <c r="AI75" s="88"/>
      <c r="AJ75" s="89"/>
      <c r="AK75" s="89"/>
      <c r="AL75" s="82"/>
      <c r="AM75" s="75">
        <v>1</v>
      </c>
      <c r="AN75" s="75"/>
      <c r="AO75" s="77">
        <v>1</v>
      </c>
      <c r="AP75" s="74"/>
      <c r="AQ75" s="75"/>
      <c r="AR75" s="77"/>
      <c r="AS75" s="75"/>
      <c r="AT75" s="75"/>
      <c r="AU75" s="77"/>
      <c r="AV75" s="77"/>
      <c r="AW75" s="75"/>
      <c r="AX75" s="75"/>
      <c r="AY75" s="83"/>
      <c r="AZ75" s="75">
        <v>80000</v>
      </c>
      <c r="BA75" s="75"/>
      <c r="BB75" s="77">
        <v>1000</v>
      </c>
      <c r="BC75" s="75"/>
      <c r="BD75" s="75"/>
      <c r="BE75" s="77"/>
      <c r="BF75" s="75"/>
      <c r="BG75" s="75"/>
      <c r="BH75" s="77"/>
      <c r="BI75" s="77"/>
      <c r="BJ75" s="75"/>
      <c r="BK75" s="75"/>
      <c r="BL75" s="83"/>
      <c r="BM75" s="84">
        <v>0.55000000000000004</v>
      </c>
      <c r="BN75" s="84"/>
      <c r="BO75" s="84"/>
      <c r="BP75" s="85"/>
      <c r="BQ75" s="86"/>
      <c r="BR75" s="86"/>
    </row>
    <row r="76" spans="1:70">
      <c r="A76" s="70" t="s">
        <v>61</v>
      </c>
      <c r="B76" s="70" t="s">
        <v>121</v>
      </c>
      <c r="C76" s="71"/>
      <c r="D76" s="71" t="s">
        <v>106</v>
      </c>
      <c r="E76" s="72" t="s">
        <v>97</v>
      </c>
      <c r="F76" s="72"/>
      <c r="G76" s="72">
        <v>1</v>
      </c>
      <c r="H76" s="72"/>
      <c r="I76" s="72"/>
      <c r="J76" s="73"/>
      <c r="K76" s="74">
        <v>100</v>
      </c>
      <c r="L76" s="75"/>
      <c r="M76" s="76">
        <v>7</v>
      </c>
      <c r="N76" s="77">
        <v>3</v>
      </c>
      <c r="O76" s="78"/>
      <c r="P76" s="87"/>
      <c r="Q76" s="88"/>
      <c r="R76" s="88"/>
      <c r="S76" s="88"/>
      <c r="T76" s="88"/>
      <c r="U76" s="88"/>
      <c r="V76" s="88"/>
      <c r="W76" s="88"/>
      <c r="X76" s="89"/>
      <c r="Y76" s="89"/>
      <c r="Z76" s="82"/>
      <c r="AA76" s="78"/>
      <c r="AB76" s="87"/>
      <c r="AC76" s="88"/>
      <c r="AD76" s="88"/>
      <c r="AE76" s="88"/>
      <c r="AF76" s="88"/>
      <c r="AG76" s="88"/>
      <c r="AH76" s="88"/>
      <c r="AI76" s="88"/>
      <c r="AJ76" s="89"/>
      <c r="AK76" s="89"/>
      <c r="AL76" s="82"/>
      <c r="AM76" s="75">
        <v>1</v>
      </c>
      <c r="AN76" s="75"/>
      <c r="AO76" s="77"/>
      <c r="AP76" s="74"/>
      <c r="AQ76" s="75"/>
      <c r="AR76" s="77"/>
      <c r="AS76" s="75"/>
      <c r="AT76" s="75"/>
      <c r="AU76" s="77"/>
      <c r="AV76" s="77"/>
      <c r="AW76" s="75"/>
      <c r="AX76" s="75"/>
      <c r="AY76" s="83"/>
      <c r="AZ76" s="75">
        <v>10000</v>
      </c>
      <c r="BA76" s="75"/>
      <c r="BB76" s="77"/>
      <c r="BC76" s="75"/>
      <c r="BD76" s="75"/>
      <c r="BE76" s="77"/>
      <c r="BF76" s="75"/>
      <c r="BG76" s="75"/>
      <c r="BH76" s="77"/>
      <c r="BI76" s="77"/>
      <c r="BJ76" s="75"/>
      <c r="BK76" s="75"/>
      <c r="BL76" s="83"/>
      <c r="BM76" s="84">
        <v>0.01</v>
      </c>
      <c r="BN76" s="84"/>
      <c r="BO76" s="84"/>
      <c r="BP76" s="85"/>
      <c r="BQ76" s="86"/>
      <c r="BR76" s="86"/>
    </row>
    <row r="77" spans="1:70">
      <c r="A77" s="70"/>
      <c r="B77" s="70"/>
      <c r="C77" s="71"/>
      <c r="D77" s="71" t="s">
        <v>106</v>
      </c>
      <c r="E77" s="72" t="s">
        <v>97</v>
      </c>
      <c r="F77" s="72"/>
      <c r="G77" s="72"/>
      <c r="H77" s="72"/>
      <c r="I77" s="72">
        <v>1</v>
      </c>
      <c r="J77" s="73"/>
      <c r="K77" s="74">
        <v>74</v>
      </c>
      <c r="L77" s="75">
        <v>74</v>
      </c>
      <c r="M77" s="76"/>
      <c r="N77" s="77">
        <v>3</v>
      </c>
      <c r="O77" s="78"/>
      <c r="P77" s="87"/>
      <c r="Q77" s="88"/>
      <c r="R77" s="88"/>
      <c r="S77" s="88"/>
      <c r="T77" s="88"/>
      <c r="U77" s="88"/>
      <c r="V77" s="88"/>
      <c r="W77" s="88"/>
      <c r="X77" s="89"/>
      <c r="Y77" s="89"/>
      <c r="Z77" s="82">
        <v>4000</v>
      </c>
      <c r="AA77" s="78"/>
      <c r="AB77" s="87"/>
      <c r="AC77" s="88"/>
      <c r="AD77" s="88"/>
      <c r="AE77" s="88"/>
      <c r="AF77" s="88"/>
      <c r="AG77" s="88"/>
      <c r="AH77" s="88"/>
      <c r="AI77" s="88"/>
      <c r="AJ77" s="89"/>
      <c r="AK77" s="89"/>
      <c r="AL77" s="82">
        <v>3500</v>
      </c>
      <c r="AM77" s="75"/>
      <c r="AN77" s="75"/>
      <c r="AO77" s="77"/>
      <c r="AP77" s="74"/>
      <c r="AQ77" s="75"/>
      <c r="AR77" s="77"/>
      <c r="AS77" s="75"/>
      <c r="AT77" s="75"/>
      <c r="AU77" s="77"/>
      <c r="AV77" s="77"/>
      <c r="AW77" s="75"/>
      <c r="AX77" s="75"/>
      <c r="AY77" s="83"/>
      <c r="AZ77" s="75"/>
      <c r="BA77" s="75"/>
      <c r="BB77" s="77"/>
      <c r="BC77" s="75"/>
      <c r="BD77" s="75"/>
      <c r="BE77" s="77"/>
      <c r="BF77" s="75"/>
      <c r="BG77" s="75"/>
      <c r="BH77" s="77"/>
      <c r="BI77" s="77"/>
      <c r="BJ77" s="75"/>
      <c r="BK77" s="75"/>
      <c r="BL77" s="83"/>
      <c r="BM77" s="84"/>
      <c r="BN77" s="84"/>
      <c r="BO77" s="84"/>
      <c r="BP77" s="85"/>
      <c r="BQ77" s="86"/>
      <c r="BR77" s="86"/>
    </row>
    <row r="78" spans="1:70">
      <c r="A78" s="70" t="s">
        <v>42</v>
      </c>
      <c r="B78" s="70" t="s">
        <v>49</v>
      </c>
      <c r="C78" s="71" t="s">
        <v>125</v>
      </c>
      <c r="D78" s="71" t="s">
        <v>44</v>
      </c>
      <c r="E78" s="72" t="s">
        <v>97</v>
      </c>
      <c r="F78" s="72"/>
      <c r="G78" s="72">
        <v>1</v>
      </c>
      <c r="H78" s="72"/>
      <c r="I78" s="72"/>
      <c r="J78" s="73"/>
      <c r="K78" s="74">
        <v>180</v>
      </c>
      <c r="L78" s="75">
        <v>180</v>
      </c>
      <c r="M78" s="76">
        <v>43</v>
      </c>
      <c r="N78" s="77">
        <v>5</v>
      </c>
      <c r="O78" s="78" t="s">
        <v>74</v>
      </c>
      <c r="P78" s="87"/>
      <c r="Q78" s="88">
        <v>8</v>
      </c>
      <c r="R78" s="88"/>
      <c r="S78" s="88"/>
      <c r="T78" s="88"/>
      <c r="U78" s="88"/>
      <c r="V78" s="88"/>
      <c r="W78" s="88"/>
      <c r="X78" s="89"/>
      <c r="Y78" s="89"/>
      <c r="Z78" s="82">
        <v>4500</v>
      </c>
      <c r="AA78" s="78" t="s">
        <v>74</v>
      </c>
      <c r="AB78" s="87"/>
      <c r="AC78" s="88">
        <v>6</v>
      </c>
      <c r="AD78" s="88"/>
      <c r="AE78" s="88"/>
      <c r="AF78" s="88"/>
      <c r="AG78" s="88"/>
      <c r="AH78" s="88"/>
      <c r="AI78" s="88"/>
      <c r="AJ78" s="89"/>
      <c r="AK78" s="89"/>
      <c r="AL78" s="82">
        <v>3500</v>
      </c>
      <c r="AM78" s="75"/>
      <c r="AN78" s="75"/>
      <c r="AO78" s="77">
        <v>1</v>
      </c>
      <c r="AP78" s="74"/>
      <c r="AQ78" s="75"/>
      <c r="AR78" s="77"/>
      <c r="AS78" s="75"/>
      <c r="AT78" s="75"/>
      <c r="AU78" s="77"/>
      <c r="AV78" s="77"/>
      <c r="AW78" s="75"/>
      <c r="AX78" s="75"/>
      <c r="AY78" s="83"/>
      <c r="AZ78" s="75"/>
      <c r="BA78" s="75"/>
      <c r="BB78" s="77">
        <v>10000</v>
      </c>
      <c r="BC78" s="75"/>
      <c r="BD78" s="75"/>
      <c r="BE78" s="77"/>
      <c r="BF78" s="75"/>
      <c r="BG78" s="75"/>
      <c r="BH78" s="77"/>
      <c r="BI78" s="77"/>
      <c r="BJ78" s="75"/>
      <c r="BK78" s="75"/>
      <c r="BL78" s="83"/>
      <c r="BM78" s="84">
        <v>0.9</v>
      </c>
      <c r="BN78" s="84"/>
      <c r="BO78" s="84"/>
      <c r="BP78" s="85"/>
      <c r="BQ78" s="86"/>
      <c r="BR78" s="86"/>
    </row>
    <row r="79" spans="1:70">
      <c r="A79" s="70"/>
      <c r="B79" s="70" t="s">
        <v>107</v>
      </c>
      <c r="C79" s="71" t="s">
        <v>126</v>
      </c>
      <c r="D79" s="71" t="s">
        <v>106</v>
      </c>
      <c r="E79" s="72" t="s">
        <v>97</v>
      </c>
      <c r="F79" s="72"/>
      <c r="G79" s="72">
        <v>1</v>
      </c>
      <c r="H79" s="72"/>
      <c r="I79" s="72"/>
      <c r="J79" s="73"/>
      <c r="K79" s="74">
        <v>160</v>
      </c>
      <c r="L79" s="75">
        <v>160</v>
      </c>
      <c r="M79" s="76">
        <v>55</v>
      </c>
      <c r="N79" s="77">
        <v>6</v>
      </c>
      <c r="O79" s="78" t="s">
        <v>60</v>
      </c>
      <c r="P79" s="87"/>
      <c r="Q79" s="88">
        <v>6.5</v>
      </c>
      <c r="R79" s="88"/>
      <c r="S79" s="88">
        <v>4.5</v>
      </c>
      <c r="T79" s="88"/>
      <c r="U79" s="88"/>
      <c r="V79" s="88"/>
      <c r="W79" s="88"/>
      <c r="X79" s="89"/>
      <c r="Y79" s="89"/>
      <c r="Z79" s="82">
        <v>7020</v>
      </c>
      <c r="AA79" s="78" t="s">
        <v>60</v>
      </c>
      <c r="AB79" s="87"/>
      <c r="AC79" s="88">
        <v>6</v>
      </c>
      <c r="AD79" s="88"/>
      <c r="AE79" s="88">
        <v>5</v>
      </c>
      <c r="AF79" s="88"/>
      <c r="AG79" s="88"/>
      <c r="AH79" s="88"/>
      <c r="AI79" s="88"/>
      <c r="AJ79" s="89"/>
      <c r="AK79" s="89"/>
      <c r="AL79" s="82">
        <v>7100</v>
      </c>
      <c r="AM79" s="75"/>
      <c r="AN79" s="75"/>
      <c r="AO79" s="77"/>
      <c r="AP79" s="74"/>
      <c r="AQ79" s="75"/>
      <c r="AR79" s="77"/>
      <c r="AS79" s="75"/>
      <c r="AT79" s="75"/>
      <c r="AU79" s="77"/>
      <c r="AV79" s="77"/>
      <c r="AW79" s="75"/>
      <c r="AX79" s="75"/>
      <c r="AY79" s="83"/>
      <c r="AZ79" s="75"/>
      <c r="BA79" s="75"/>
      <c r="BB79" s="77"/>
      <c r="BC79" s="75"/>
      <c r="BD79" s="75"/>
      <c r="BE79" s="77"/>
      <c r="BF79" s="75"/>
      <c r="BG79" s="75"/>
      <c r="BH79" s="77"/>
      <c r="BI79" s="77"/>
      <c r="BJ79" s="75"/>
      <c r="BK79" s="75"/>
      <c r="BL79" s="83"/>
      <c r="BM79" s="84"/>
      <c r="BN79" s="84"/>
      <c r="BO79" s="84"/>
      <c r="BP79" s="85"/>
      <c r="BQ79" s="86"/>
      <c r="BR79" s="86"/>
    </row>
    <row r="80" spans="1:70">
      <c r="A80" s="70" t="s">
        <v>42</v>
      </c>
      <c r="B80" s="70" t="s">
        <v>43</v>
      </c>
      <c r="C80" s="71" t="s">
        <v>127</v>
      </c>
      <c r="D80" s="71" t="s">
        <v>106</v>
      </c>
      <c r="E80" s="72" t="s">
        <v>45</v>
      </c>
      <c r="F80" s="72"/>
      <c r="G80" s="72">
        <v>1</v>
      </c>
      <c r="H80" s="72"/>
      <c r="I80" s="72"/>
      <c r="J80" s="73"/>
      <c r="K80" s="74">
        <v>1500</v>
      </c>
      <c r="L80" s="75">
        <v>1500</v>
      </c>
      <c r="M80" s="76">
        <v>87</v>
      </c>
      <c r="N80" s="77"/>
      <c r="O80" s="78" t="s">
        <v>123</v>
      </c>
      <c r="P80" s="79"/>
      <c r="Q80" s="80"/>
      <c r="R80" s="80"/>
      <c r="S80" s="80"/>
      <c r="T80" s="80"/>
      <c r="U80" s="80"/>
      <c r="V80" s="80"/>
      <c r="W80" s="80"/>
      <c r="X80" s="81"/>
      <c r="Y80" s="81">
        <f>25000/1000</f>
        <v>25</v>
      </c>
      <c r="Z80" s="82">
        <v>16000</v>
      </c>
      <c r="AA80" s="78" t="s">
        <v>123</v>
      </c>
      <c r="AB80" s="79"/>
      <c r="AC80" s="80"/>
      <c r="AD80" s="80"/>
      <c r="AE80" s="80"/>
      <c r="AF80" s="80"/>
      <c r="AG80" s="80"/>
      <c r="AH80" s="80"/>
      <c r="AI80" s="80"/>
      <c r="AJ80" s="81"/>
      <c r="AK80" s="81">
        <f>20000/1000</f>
        <v>20</v>
      </c>
      <c r="AL80" s="82">
        <v>16000</v>
      </c>
      <c r="AM80" s="75"/>
      <c r="AN80" s="75"/>
      <c r="AO80" s="77"/>
      <c r="AP80" s="74"/>
      <c r="AQ80" s="75"/>
      <c r="AR80" s="77"/>
      <c r="AS80" s="75"/>
      <c r="AT80" s="75"/>
      <c r="AU80" s="77"/>
      <c r="AV80" s="77"/>
      <c r="AW80" s="75"/>
      <c r="AX80" s="75"/>
      <c r="AY80" s="83"/>
      <c r="AZ80" s="75"/>
      <c r="BA80" s="75"/>
      <c r="BB80" s="77"/>
      <c r="BC80" s="75"/>
      <c r="BD80" s="75"/>
      <c r="BE80" s="77"/>
      <c r="BF80" s="75"/>
      <c r="BG80" s="75"/>
      <c r="BH80" s="77"/>
      <c r="BI80" s="77"/>
      <c r="BJ80" s="75"/>
      <c r="BK80" s="75"/>
      <c r="BL80" s="83"/>
      <c r="BM80" s="84"/>
      <c r="BN80" s="84"/>
      <c r="BO80" s="84"/>
      <c r="BP80" s="85"/>
      <c r="BQ80" s="86"/>
      <c r="BR80" s="86" t="str">
        <f>E80</f>
        <v>usługowe</v>
      </c>
    </row>
    <row r="81" spans="1:70">
      <c r="A81" s="70"/>
      <c r="B81" s="70" t="s">
        <v>62</v>
      </c>
      <c r="C81" s="71" t="s">
        <v>128</v>
      </c>
      <c r="D81" s="71" t="s">
        <v>106</v>
      </c>
      <c r="E81" s="72" t="s">
        <v>97</v>
      </c>
      <c r="F81" s="72"/>
      <c r="G81" s="72">
        <v>1</v>
      </c>
      <c r="H81" s="72"/>
      <c r="I81" s="72"/>
      <c r="J81" s="73"/>
      <c r="K81" s="74"/>
      <c r="L81" s="75">
        <v>140</v>
      </c>
      <c r="M81" s="76">
        <v>24</v>
      </c>
      <c r="N81" s="77">
        <v>4</v>
      </c>
      <c r="O81" s="78" t="s">
        <v>129</v>
      </c>
      <c r="P81" s="87"/>
      <c r="Q81" s="88"/>
      <c r="R81" s="88"/>
      <c r="S81" s="88">
        <v>13</v>
      </c>
      <c r="T81" s="88"/>
      <c r="U81" s="88"/>
      <c r="V81" s="88"/>
      <c r="W81" s="88"/>
      <c r="X81" s="89"/>
      <c r="Y81" s="89"/>
      <c r="Z81" s="82"/>
      <c r="AA81" s="78" t="s">
        <v>130</v>
      </c>
      <c r="AB81" s="87"/>
      <c r="AC81" s="88"/>
      <c r="AD81" s="88"/>
      <c r="AE81" s="88"/>
      <c r="AF81" s="88"/>
      <c r="AG81" s="88">
        <v>4</v>
      </c>
      <c r="AH81" s="88"/>
      <c r="AI81" s="88"/>
      <c r="AJ81" s="89"/>
      <c r="AK81" s="89"/>
      <c r="AL81" s="82"/>
      <c r="AM81" s="75"/>
      <c r="AN81" s="75"/>
      <c r="AO81" s="77">
        <v>1</v>
      </c>
      <c r="AP81" s="74"/>
      <c r="AQ81" s="75"/>
      <c r="AR81" s="77"/>
      <c r="AS81" s="75"/>
      <c r="AT81" s="75"/>
      <c r="AU81" s="77"/>
      <c r="AV81" s="77"/>
      <c r="AW81" s="75"/>
      <c r="AX81" s="75"/>
      <c r="AY81" s="83"/>
      <c r="AZ81" s="75"/>
      <c r="BA81" s="75"/>
      <c r="BB81" s="77">
        <v>6000</v>
      </c>
      <c r="BC81" s="75"/>
      <c r="BD81" s="75"/>
      <c r="BE81" s="77"/>
      <c r="BF81" s="75"/>
      <c r="BG81" s="75"/>
      <c r="BH81" s="77"/>
      <c r="BI81" s="77"/>
      <c r="BJ81" s="75"/>
      <c r="BK81" s="75"/>
      <c r="BL81" s="83"/>
      <c r="BM81" s="84">
        <v>0.25</v>
      </c>
      <c r="BN81" s="84"/>
      <c r="BO81" s="84"/>
      <c r="BP81" s="85"/>
      <c r="BQ81" s="86"/>
      <c r="BR81" s="86"/>
    </row>
    <row r="82" spans="1:70">
      <c r="A82" s="70" t="s">
        <v>61</v>
      </c>
      <c r="B82" s="70" t="s">
        <v>121</v>
      </c>
      <c r="C82" s="71" t="s">
        <v>126</v>
      </c>
      <c r="D82" s="71" t="s">
        <v>106</v>
      </c>
      <c r="E82" s="72" t="s">
        <v>97</v>
      </c>
      <c r="F82" s="72"/>
      <c r="G82" s="72">
        <v>1</v>
      </c>
      <c r="H82" s="72"/>
      <c r="I82" s="72"/>
      <c r="J82" s="73"/>
      <c r="K82" s="74">
        <v>270</v>
      </c>
      <c r="L82" s="75">
        <v>270</v>
      </c>
      <c r="M82" s="76">
        <v>28</v>
      </c>
      <c r="N82" s="77">
        <v>6</v>
      </c>
      <c r="O82" s="78"/>
      <c r="P82" s="87"/>
      <c r="Q82" s="88"/>
      <c r="R82" s="88"/>
      <c r="S82" s="88"/>
      <c r="T82" s="88"/>
      <c r="U82" s="88"/>
      <c r="V82" s="88"/>
      <c r="W82" s="88"/>
      <c r="X82" s="89"/>
      <c r="Y82" s="89"/>
      <c r="Z82" s="82"/>
      <c r="AA82" s="78"/>
      <c r="AB82" s="87"/>
      <c r="AC82" s="88"/>
      <c r="AD82" s="88">
        <v>6</v>
      </c>
      <c r="AE82" s="88">
        <v>8</v>
      </c>
      <c r="AF82" s="88"/>
      <c r="AG82" s="88"/>
      <c r="AH82" s="88"/>
      <c r="AI82" s="88"/>
      <c r="AJ82" s="89"/>
      <c r="AK82" s="89"/>
      <c r="AL82" s="82">
        <v>6590</v>
      </c>
      <c r="AM82" s="75"/>
      <c r="AN82" s="75">
        <v>2</v>
      </c>
      <c r="AO82" s="77">
        <v>1</v>
      </c>
      <c r="AP82" s="74"/>
      <c r="AQ82" s="75"/>
      <c r="AR82" s="77"/>
      <c r="AS82" s="75"/>
      <c r="AT82" s="75"/>
      <c r="AU82" s="77"/>
      <c r="AV82" s="77"/>
      <c r="AW82" s="75"/>
      <c r="AX82" s="75"/>
      <c r="AY82" s="83"/>
      <c r="AZ82" s="75"/>
      <c r="BA82" s="75">
        <v>17000</v>
      </c>
      <c r="BB82" s="77">
        <v>2000</v>
      </c>
      <c r="BC82" s="75"/>
      <c r="BD82" s="75"/>
      <c r="BE82" s="77"/>
      <c r="BF82" s="75"/>
      <c r="BG82" s="75"/>
      <c r="BH82" s="77"/>
      <c r="BI82" s="77"/>
      <c r="BJ82" s="75"/>
      <c r="BK82" s="75"/>
      <c r="BL82" s="83"/>
      <c r="BM82" s="84">
        <v>0.75</v>
      </c>
      <c r="BN82" s="84"/>
      <c r="BO82" s="84"/>
      <c r="BP82" s="85"/>
      <c r="BQ82" s="86"/>
      <c r="BR82" s="86"/>
    </row>
    <row r="83" spans="1:70">
      <c r="A83" s="70" t="s">
        <v>61</v>
      </c>
      <c r="B83" s="70" t="s">
        <v>121</v>
      </c>
      <c r="C83" s="71"/>
      <c r="D83" s="71" t="s">
        <v>106</v>
      </c>
      <c r="E83" s="72" t="s">
        <v>97</v>
      </c>
      <c r="F83" s="72"/>
      <c r="G83" s="72">
        <v>1</v>
      </c>
      <c r="H83" s="72"/>
      <c r="I83" s="72"/>
      <c r="J83" s="73"/>
      <c r="K83" s="74"/>
      <c r="L83" s="75"/>
      <c r="M83" s="76"/>
      <c r="N83" s="77"/>
      <c r="O83" s="78" t="s">
        <v>74</v>
      </c>
      <c r="P83" s="87"/>
      <c r="Q83" s="88">
        <v>6</v>
      </c>
      <c r="R83" s="88"/>
      <c r="S83" s="88"/>
      <c r="T83" s="88"/>
      <c r="U83" s="88"/>
      <c r="V83" s="88"/>
      <c r="W83" s="88"/>
      <c r="X83" s="89"/>
      <c r="Y83" s="89"/>
      <c r="Z83" s="82"/>
      <c r="AA83" s="78" t="s">
        <v>74</v>
      </c>
      <c r="AB83" s="87"/>
      <c r="AC83" s="88">
        <v>4.5</v>
      </c>
      <c r="AD83" s="88"/>
      <c r="AE83" s="88"/>
      <c r="AF83" s="88"/>
      <c r="AG83" s="88"/>
      <c r="AH83" s="88"/>
      <c r="AI83" s="88"/>
      <c r="AJ83" s="89"/>
      <c r="AK83" s="89"/>
      <c r="AL83" s="82"/>
      <c r="AM83" s="75">
        <v>1</v>
      </c>
      <c r="AN83" s="75"/>
      <c r="AO83" s="77"/>
      <c r="AP83" s="74"/>
      <c r="AQ83" s="75"/>
      <c r="AR83" s="77"/>
      <c r="AS83" s="75"/>
      <c r="AT83" s="75"/>
      <c r="AU83" s="77"/>
      <c r="AV83" s="77"/>
      <c r="AW83" s="75"/>
      <c r="AX83" s="75"/>
      <c r="AY83" s="83"/>
      <c r="AZ83" s="75">
        <v>5000</v>
      </c>
      <c r="BA83" s="75"/>
      <c r="BB83" s="77"/>
      <c r="BC83" s="75"/>
      <c r="BD83" s="75"/>
      <c r="BE83" s="77"/>
      <c r="BF83" s="75"/>
      <c r="BG83" s="75"/>
      <c r="BH83" s="77"/>
      <c r="BI83" s="77"/>
      <c r="BJ83" s="75"/>
      <c r="BK83" s="75"/>
      <c r="BL83" s="83"/>
      <c r="BM83" s="84">
        <v>0.5</v>
      </c>
      <c r="BN83" s="84"/>
      <c r="BO83" s="84"/>
      <c r="BP83" s="85"/>
      <c r="BQ83" s="86"/>
      <c r="BR83" s="86"/>
    </row>
    <row r="84" spans="1:70">
      <c r="A84" s="70" t="s">
        <v>61</v>
      </c>
      <c r="B84" s="70" t="s">
        <v>121</v>
      </c>
      <c r="C84" s="71" t="s">
        <v>131</v>
      </c>
      <c r="D84" s="71" t="s">
        <v>106</v>
      </c>
      <c r="E84" s="72" t="s">
        <v>97</v>
      </c>
      <c r="F84" s="72"/>
      <c r="G84" s="72"/>
      <c r="H84" s="72"/>
      <c r="I84" s="72">
        <v>1</v>
      </c>
      <c r="J84" s="73"/>
      <c r="K84" s="74">
        <v>120</v>
      </c>
      <c r="L84" s="75">
        <v>120</v>
      </c>
      <c r="M84" s="76">
        <v>90</v>
      </c>
      <c r="N84" s="77">
        <v>4</v>
      </c>
      <c r="O84" s="78" t="s">
        <v>123</v>
      </c>
      <c r="P84" s="87"/>
      <c r="Q84" s="88"/>
      <c r="R84" s="88"/>
      <c r="S84" s="88"/>
      <c r="T84" s="88"/>
      <c r="U84" s="88"/>
      <c r="V84" s="88"/>
      <c r="W84" s="88"/>
      <c r="X84" s="89">
        <f>12*11</f>
        <v>132</v>
      </c>
      <c r="Y84" s="89"/>
      <c r="Z84" s="82">
        <v>7883</v>
      </c>
      <c r="AA84" s="78" t="s">
        <v>123</v>
      </c>
      <c r="AB84" s="87"/>
      <c r="AC84" s="88"/>
      <c r="AD84" s="88"/>
      <c r="AE84" s="88"/>
      <c r="AF84" s="88"/>
      <c r="AG84" s="88"/>
      <c r="AH84" s="88"/>
      <c r="AI84" s="88"/>
      <c r="AJ84" s="89">
        <f>10*11</f>
        <v>110</v>
      </c>
      <c r="AK84" s="89"/>
      <c r="AL84" s="82">
        <v>6889</v>
      </c>
      <c r="AM84" s="75"/>
      <c r="AN84" s="75"/>
      <c r="AO84" s="77"/>
      <c r="AP84" s="74"/>
      <c r="AQ84" s="75"/>
      <c r="AR84" s="77"/>
      <c r="AS84" s="75"/>
      <c r="AT84" s="75"/>
      <c r="AU84" s="77"/>
      <c r="AV84" s="77"/>
      <c r="AW84" s="75"/>
      <c r="AX84" s="75"/>
      <c r="AY84" s="83"/>
      <c r="AZ84" s="75"/>
      <c r="BA84" s="75"/>
      <c r="BB84" s="77"/>
      <c r="BC84" s="75"/>
      <c r="BD84" s="75"/>
      <c r="BE84" s="77"/>
      <c r="BF84" s="75"/>
      <c r="BG84" s="75"/>
      <c r="BH84" s="77"/>
      <c r="BI84" s="77"/>
      <c r="BJ84" s="75"/>
      <c r="BK84" s="75"/>
      <c r="BL84" s="83"/>
      <c r="BM84" s="84"/>
      <c r="BN84" s="84"/>
      <c r="BO84" s="84"/>
      <c r="BP84" s="85"/>
      <c r="BQ84" s="86"/>
      <c r="BR84" s="86"/>
    </row>
    <row r="85" spans="1:70">
      <c r="A85" s="70"/>
      <c r="B85" s="70" t="s">
        <v>62</v>
      </c>
      <c r="C85" s="71" t="s">
        <v>132</v>
      </c>
      <c r="D85" s="71" t="s">
        <v>106</v>
      </c>
      <c r="E85" s="72" t="s">
        <v>97</v>
      </c>
      <c r="F85" s="72"/>
      <c r="G85" s="72">
        <v>1</v>
      </c>
      <c r="H85" s="72"/>
      <c r="I85" s="72"/>
      <c r="J85" s="73"/>
      <c r="K85" s="74">
        <v>160</v>
      </c>
      <c r="L85" s="75">
        <v>160</v>
      </c>
      <c r="M85" s="76">
        <v>82</v>
      </c>
      <c r="N85" s="77">
        <v>5</v>
      </c>
      <c r="O85" s="78" t="s">
        <v>60</v>
      </c>
      <c r="P85" s="87"/>
      <c r="Q85" s="88">
        <v>10</v>
      </c>
      <c r="R85" s="88"/>
      <c r="S85" s="88"/>
      <c r="T85" s="88"/>
      <c r="U85" s="88"/>
      <c r="V85" s="88"/>
      <c r="W85" s="88"/>
      <c r="X85" s="89"/>
      <c r="Y85" s="89"/>
      <c r="Z85" s="82"/>
      <c r="AA85" s="78" t="s">
        <v>60</v>
      </c>
      <c r="AB85" s="87"/>
      <c r="AC85" s="88">
        <v>10</v>
      </c>
      <c r="AD85" s="88"/>
      <c r="AE85" s="88"/>
      <c r="AF85" s="88"/>
      <c r="AG85" s="88"/>
      <c r="AH85" s="88"/>
      <c r="AI85" s="88"/>
      <c r="AJ85" s="89"/>
      <c r="AK85" s="89"/>
      <c r="AL85" s="82"/>
      <c r="AM85" s="75">
        <v>1</v>
      </c>
      <c r="AN85" s="75"/>
      <c r="AO85" s="77">
        <v>1</v>
      </c>
      <c r="AP85" s="74"/>
      <c r="AQ85" s="75"/>
      <c r="AR85" s="77"/>
      <c r="AS85" s="75"/>
      <c r="AT85" s="75"/>
      <c r="AU85" s="77"/>
      <c r="AV85" s="77"/>
      <c r="AW85" s="75"/>
      <c r="AX85" s="75"/>
      <c r="AY85" s="83"/>
      <c r="AZ85" s="75">
        <v>2000</v>
      </c>
      <c r="BA85" s="75"/>
      <c r="BB85" s="77">
        <v>12000</v>
      </c>
      <c r="BC85" s="75"/>
      <c r="BD85" s="75"/>
      <c r="BE85" s="77"/>
      <c r="BF85" s="75"/>
      <c r="BG85" s="75"/>
      <c r="BH85" s="77"/>
      <c r="BI85" s="77"/>
      <c r="BJ85" s="75"/>
      <c r="BK85" s="75"/>
      <c r="BL85" s="83"/>
      <c r="BM85" s="84">
        <v>0.6</v>
      </c>
      <c r="BN85" s="84"/>
      <c r="BO85" s="84"/>
      <c r="BP85" s="85"/>
      <c r="BQ85" s="86"/>
      <c r="BR85" s="86"/>
    </row>
    <row r="86" spans="1:70">
      <c r="A86" s="70" t="s">
        <v>61</v>
      </c>
      <c r="B86" s="70" t="s">
        <v>121</v>
      </c>
      <c r="C86" s="71" t="s">
        <v>133</v>
      </c>
      <c r="D86" s="71" t="s">
        <v>106</v>
      </c>
      <c r="E86" s="72" t="s">
        <v>97</v>
      </c>
      <c r="F86" s="72"/>
      <c r="G86" s="72">
        <v>1</v>
      </c>
      <c r="H86" s="72"/>
      <c r="I86" s="72"/>
      <c r="J86" s="73"/>
      <c r="K86" s="74">
        <v>150</v>
      </c>
      <c r="L86" s="75">
        <v>120</v>
      </c>
      <c r="M86" s="76">
        <v>15</v>
      </c>
      <c r="N86" s="77">
        <v>4</v>
      </c>
      <c r="O86" s="78" t="s">
        <v>60</v>
      </c>
      <c r="P86" s="87"/>
      <c r="Q86" s="88"/>
      <c r="R86" s="88">
        <v>5</v>
      </c>
      <c r="S86" s="88"/>
      <c r="T86" s="88"/>
      <c r="U86" s="88"/>
      <c r="V86" s="88"/>
      <c r="W86" s="88"/>
      <c r="X86" s="89"/>
      <c r="Y86" s="89"/>
      <c r="Z86" s="82">
        <v>5010</v>
      </c>
      <c r="AA86" s="78" t="s">
        <v>102</v>
      </c>
      <c r="AB86" s="87"/>
      <c r="AC86" s="88"/>
      <c r="AD86" s="88">
        <v>5</v>
      </c>
      <c r="AE86" s="88"/>
      <c r="AF86" s="88"/>
      <c r="AG86" s="88"/>
      <c r="AH86" s="88"/>
      <c r="AI86" s="88"/>
      <c r="AJ86" s="89"/>
      <c r="AK86" s="89"/>
      <c r="AL86" s="82">
        <v>4080</v>
      </c>
      <c r="AM86" s="75">
        <v>1</v>
      </c>
      <c r="AN86" s="75"/>
      <c r="AO86" s="77">
        <v>1</v>
      </c>
      <c r="AP86" s="74"/>
      <c r="AQ86" s="75"/>
      <c r="AR86" s="77"/>
      <c r="AS86" s="75"/>
      <c r="AT86" s="75"/>
      <c r="AU86" s="77"/>
      <c r="AV86" s="77"/>
      <c r="AW86" s="75"/>
      <c r="AX86" s="75"/>
      <c r="AY86" s="83"/>
      <c r="AZ86" s="75">
        <v>3000</v>
      </c>
      <c r="BA86" s="75"/>
      <c r="BB86" s="77">
        <v>10000</v>
      </c>
      <c r="BC86" s="75"/>
      <c r="BD86" s="75"/>
      <c r="BE86" s="77"/>
      <c r="BF86" s="75"/>
      <c r="BG86" s="75"/>
      <c r="BH86" s="77"/>
      <c r="BI86" s="77"/>
      <c r="BJ86" s="75"/>
      <c r="BK86" s="75"/>
      <c r="BL86" s="83"/>
      <c r="BM86" s="84">
        <v>0.75</v>
      </c>
      <c r="BN86" s="84"/>
      <c r="BO86" s="84"/>
      <c r="BP86" s="85"/>
      <c r="BQ86" s="86"/>
      <c r="BR86" s="86"/>
    </row>
    <row r="87" spans="1:70">
      <c r="A87" s="70"/>
      <c r="B87" s="70" t="s">
        <v>62</v>
      </c>
      <c r="C87" s="71" t="s">
        <v>134</v>
      </c>
      <c r="D87" s="71" t="s">
        <v>106</v>
      </c>
      <c r="E87" s="72" t="s">
        <v>97</v>
      </c>
      <c r="F87" s="72"/>
      <c r="G87" s="72">
        <v>1</v>
      </c>
      <c r="H87" s="72"/>
      <c r="I87" s="72"/>
      <c r="J87" s="73"/>
      <c r="K87" s="74">
        <v>132</v>
      </c>
      <c r="L87" s="75">
        <v>132</v>
      </c>
      <c r="M87" s="76">
        <v>70</v>
      </c>
      <c r="N87" s="77">
        <v>2</v>
      </c>
      <c r="O87" s="78" t="s">
        <v>60</v>
      </c>
      <c r="P87" s="87"/>
      <c r="Q87" s="88">
        <v>7</v>
      </c>
      <c r="R87" s="88"/>
      <c r="S87" s="88">
        <v>1</v>
      </c>
      <c r="T87" s="88"/>
      <c r="U87" s="88"/>
      <c r="V87" s="88"/>
      <c r="W87" s="88"/>
      <c r="X87" s="89">
        <f>4*11</f>
        <v>44</v>
      </c>
      <c r="Y87" s="89"/>
      <c r="Z87" s="82">
        <v>5000</v>
      </c>
      <c r="AA87" s="78" t="s">
        <v>60</v>
      </c>
      <c r="AB87" s="87"/>
      <c r="AC87" s="88">
        <v>5</v>
      </c>
      <c r="AD87" s="88"/>
      <c r="AE87" s="88"/>
      <c r="AF87" s="88"/>
      <c r="AG87" s="88"/>
      <c r="AH87" s="88"/>
      <c r="AI87" s="88"/>
      <c r="AJ87" s="89">
        <f>3*11</f>
        <v>33</v>
      </c>
      <c r="AK87" s="89"/>
      <c r="AL87" s="82">
        <v>4200</v>
      </c>
      <c r="AM87" s="75">
        <v>1</v>
      </c>
      <c r="AN87" s="75"/>
      <c r="AO87" s="77"/>
      <c r="AP87" s="74"/>
      <c r="AQ87" s="75"/>
      <c r="AR87" s="77"/>
      <c r="AS87" s="75"/>
      <c r="AT87" s="75"/>
      <c r="AU87" s="77"/>
      <c r="AV87" s="77"/>
      <c r="AW87" s="75"/>
      <c r="AX87" s="75"/>
      <c r="AY87" s="83"/>
      <c r="AZ87" s="75">
        <v>10000</v>
      </c>
      <c r="BA87" s="75"/>
      <c r="BB87" s="77"/>
      <c r="BC87" s="75"/>
      <c r="BD87" s="75"/>
      <c r="BE87" s="77"/>
      <c r="BF87" s="75"/>
      <c r="BG87" s="75"/>
      <c r="BH87" s="77"/>
      <c r="BI87" s="77"/>
      <c r="BJ87" s="75"/>
      <c r="BK87" s="75"/>
      <c r="BL87" s="83"/>
      <c r="BM87" s="84">
        <v>0.2</v>
      </c>
      <c r="BN87" s="84"/>
      <c r="BO87" s="84"/>
      <c r="BP87" s="85"/>
      <c r="BQ87" s="86"/>
      <c r="BR87" s="86"/>
    </row>
    <row r="88" spans="1:70">
      <c r="A88" s="70"/>
      <c r="B88" s="70" t="s">
        <v>62</v>
      </c>
      <c r="C88" s="71" t="s">
        <v>126</v>
      </c>
      <c r="D88" s="71" t="s">
        <v>106</v>
      </c>
      <c r="E88" s="72" t="s">
        <v>97</v>
      </c>
      <c r="F88" s="72"/>
      <c r="G88" s="72">
        <v>1</v>
      </c>
      <c r="H88" s="72"/>
      <c r="I88" s="72"/>
      <c r="J88" s="73"/>
      <c r="K88" s="74">
        <v>210</v>
      </c>
      <c r="L88" s="75">
        <v>160</v>
      </c>
      <c r="M88" s="76">
        <v>34</v>
      </c>
      <c r="N88" s="77">
        <v>6</v>
      </c>
      <c r="O88" s="78" t="s">
        <v>74</v>
      </c>
      <c r="P88" s="87"/>
      <c r="Q88" s="88">
        <v>8</v>
      </c>
      <c r="R88" s="88"/>
      <c r="S88" s="88"/>
      <c r="T88" s="88"/>
      <c r="U88" s="88"/>
      <c r="V88" s="88"/>
      <c r="W88" s="88"/>
      <c r="X88" s="89"/>
      <c r="Y88" s="89"/>
      <c r="Z88" s="82">
        <v>7200</v>
      </c>
      <c r="AA88" s="78" t="s">
        <v>74</v>
      </c>
      <c r="AB88" s="87"/>
      <c r="AC88" s="88">
        <v>7.5</v>
      </c>
      <c r="AD88" s="88"/>
      <c r="AE88" s="88"/>
      <c r="AF88" s="88"/>
      <c r="AG88" s="88"/>
      <c r="AH88" s="88"/>
      <c r="AI88" s="88"/>
      <c r="AJ88" s="89"/>
      <c r="AK88" s="89"/>
      <c r="AL88" s="82">
        <v>8133</v>
      </c>
      <c r="AM88" s="75">
        <v>2</v>
      </c>
      <c r="AN88" s="75"/>
      <c r="AO88" s="77">
        <v>1</v>
      </c>
      <c r="AP88" s="74"/>
      <c r="AQ88" s="75"/>
      <c r="AR88" s="77"/>
      <c r="AS88" s="75"/>
      <c r="AT88" s="75"/>
      <c r="AU88" s="77"/>
      <c r="AV88" s="77"/>
      <c r="AW88" s="75"/>
      <c r="AX88" s="75"/>
      <c r="AY88" s="83"/>
      <c r="AZ88" s="75">
        <v>5000</v>
      </c>
      <c r="BA88" s="75"/>
      <c r="BB88" s="77">
        <v>20000</v>
      </c>
      <c r="BC88" s="75"/>
      <c r="BD88" s="75"/>
      <c r="BE88" s="77"/>
      <c r="BF88" s="75"/>
      <c r="BG88" s="75"/>
      <c r="BH88" s="77"/>
      <c r="BI88" s="77"/>
      <c r="BJ88" s="75"/>
      <c r="BK88" s="75"/>
      <c r="BL88" s="83"/>
      <c r="BM88" s="84">
        <v>0.2</v>
      </c>
      <c r="BN88" s="84"/>
      <c r="BO88" s="84"/>
      <c r="BP88" s="85"/>
      <c r="BQ88" s="86"/>
      <c r="BR88" s="86"/>
    </row>
    <row r="89" spans="1:70">
      <c r="A89" s="70"/>
      <c r="B89" s="70" t="s">
        <v>62</v>
      </c>
      <c r="C89" s="71" t="s">
        <v>135</v>
      </c>
      <c r="D89" s="71" t="s">
        <v>106</v>
      </c>
      <c r="E89" s="72" t="s">
        <v>97</v>
      </c>
      <c r="F89" s="72"/>
      <c r="G89" s="72">
        <v>1</v>
      </c>
      <c r="H89" s="72"/>
      <c r="I89" s="72"/>
      <c r="J89" s="73"/>
      <c r="K89" s="74">
        <v>128.62</v>
      </c>
      <c r="L89" s="75">
        <v>100.31</v>
      </c>
      <c r="M89" s="76">
        <v>82</v>
      </c>
      <c r="N89" s="77">
        <v>4</v>
      </c>
      <c r="O89" s="78" t="s">
        <v>60</v>
      </c>
      <c r="P89" s="87"/>
      <c r="Q89" s="88">
        <v>9.14</v>
      </c>
      <c r="R89" s="88"/>
      <c r="S89" s="88"/>
      <c r="T89" s="88"/>
      <c r="U89" s="88"/>
      <c r="V89" s="88"/>
      <c r="W89" s="88"/>
      <c r="X89" s="89"/>
      <c r="Y89" s="89"/>
      <c r="Z89" s="82">
        <v>14105</v>
      </c>
      <c r="AA89" s="78" t="s">
        <v>60</v>
      </c>
      <c r="AB89" s="87"/>
      <c r="AC89" s="88">
        <v>8.1300000000000008</v>
      </c>
      <c r="AD89" s="88"/>
      <c r="AE89" s="88"/>
      <c r="AF89" s="88"/>
      <c r="AG89" s="88"/>
      <c r="AH89" s="88"/>
      <c r="AI89" s="88"/>
      <c r="AJ89" s="89"/>
      <c r="AK89" s="89"/>
      <c r="AL89" s="82">
        <v>13920</v>
      </c>
      <c r="AM89" s="75">
        <v>2</v>
      </c>
      <c r="AN89" s="75"/>
      <c r="AO89" s="77">
        <v>1</v>
      </c>
      <c r="AP89" s="74"/>
      <c r="AQ89" s="75"/>
      <c r="AR89" s="77"/>
      <c r="AS89" s="75"/>
      <c r="AT89" s="75"/>
      <c r="AU89" s="77"/>
      <c r="AV89" s="77"/>
      <c r="AW89" s="75"/>
      <c r="AX89" s="75"/>
      <c r="AY89" s="83"/>
      <c r="AZ89" s="75">
        <f>28000/AM89</f>
        <v>14000</v>
      </c>
      <c r="BA89" s="75"/>
      <c r="BB89" s="77">
        <v>13000</v>
      </c>
      <c r="BC89" s="75"/>
      <c r="BD89" s="75"/>
      <c r="BE89" s="77"/>
      <c r="BF89" s="75"/>
      <c r="BG89" s="75"/>
      <c r="BH89" s="77"/>
      <c r="BI89" s="77"/>
      <c r="BJ89" s="75"/>
      <c r="BK89" s="75"/>
      <c r="BL89" s="83"/>
      <c r="BM89" s="84">
        <v>0.03</v>
      </c>
      <c r="BN89" s="84"/>
      <c r="BO89" s="84"/>
      <c r="BP89" s="85"/>
      <c r="BQ89" s="86"/>
      <c r="BR89" s="86"/>
    </row>
    <row r="90" spans="1:70">
      <c r="A90" s="70"/>
      <c r="B90" s="70" t="s">
        <v>105</v>
      </c>
      <c r="C90" s="71" t="s">
        <v>136</v>
      </c>
      <c r="D90" s="71" t="s">
        <v>106</v>
      </c>
      <c r="E90" s="72" t="s">
        <v>97</v>
      </c>
      <c r="F90" s="72"/>
      <c r="G90" s="72">
        <v>1</v>
      </c>
      <c r="H90" s="72"/>
      <c r="I90" s="72"/>
      <c r="J90" s="73"/>
      <c r="K90" s="74">
        <v>100</v>
      </c>
      <c r="L90" s="75">
        <v>100</v>
      </c>
      <c r="M90" s="76">
        <v>70</v>
      </c>
      <c r="N90" s="77">
        <v>6</v>
      </c>
      <c r="O90" s="78" t="s">
        <v>74</v>
      </c>
      <c r="P90" s="87"/>
      <c r="Q90" s="88">
        <v>10</v>
      </c>
      <c r="R90" s="88"/>
      <c r="S90" s="88"/>
      <c r="T90" s="88"/>
      <c r="U90" s="88"/>
      <c r="V90" s="88"/>
      <c r="W90" s="88"/>
      <c r="X90" s="89"/>
      <c r="Y90" s="89"/>
      <c r="Z90" s="82"/>
      <c r="AA90" s="78" t="s">
        <v>74</v>
      </c>
      <c r="AB90" s="87"/>
      <c r="AC90" s="88">
        <v>10</v>
      </c>
      <c r="AD90" s="88"/>
      <c r="AE90" s="88"/>
      <c r="AF90" s="88"/>
      <c r="AG90" s="88"/>
      <c r="AH90" s="88"/>
      <c r="AI90" s="88"/>
      <c r="AJ90" s="89"/>
      <c r="AK90" s="89"/>
      <c r="AL90" s="82"/>
      <c r="AM90" s="75">
        <v>1</v>
      </c>
      <c r="AN90" s="75"/>
      <c r="AO90" s="77"/>
      <c r="AP90" s="74"/>
      <c r="AQ90" s="75"/>
      <c r="AR90" s="77"/>
      <c r="AS90" s="75"/>
      <c r="AT90" s="75"/>
      <c r="AU90" s="77"/>
      <c r="AV90" s="77"/>
      <c r="AW90" s="75"/>
      <c r="AX90" s="75"/>
      <c r="AY90" s="83"/>
      <c r="AZ90" s="75">
        <v>50000</v>
      </c>
      <c r="BA90" s="75"/>
      <c r="BB90" s="77"/>
      <c r="BC90" s="75"/>
      <c r="BD90" s="75"/>
      <c r="BE90" s="77"/>
      <c r="BF90" s="75"/>
      <c r="BG90" s="75"/>
      <c r="BH90" s="77"/>
      <c r="BI90" s="77"/>
      <c r="BJ90" s="75"/>
      <c r="BK90" s="75"/>
      <c r="BL90" s="83"/>
      <c r="BM90" s="84">
        <v>0.7</v>
      </c>
      <c r="BN90" s="84"/>
      <c r="BO90" s="84"/>
      <c r="BP90" s="85"/>
      <c r="BQ90" s="86"/>
      <c r="BR90" s="86"/>
    </row>
    <row r="91" spans="1:70">
      <c r="A91" s="70" t="s">
        <v>61</v>
      </c>
      <c r="B91" s="70" t="s">
        <v>105</v>
      </c>
      <c r="C91" s="71"/>
      <c r="D91" s="71" t="s">
        <v>106</v>
      </c>
      <c r="E91" s="72" t="s">
        <v>97</v>
      </c>
      <c r="F91" s="72"/>
      <c r="G91" s="72">
        <v>1</v>
      </c>
      <c r="H91" s="72"/>
      <c r="I91" s="72"/>
      <c r="J91" s="73"/>
      <c r="K91" s="74">
        <v>230</v>
      </c>
      <c r="L91" s="75">
        <v>200</v>
      </c>
      <c r="M91" s="76">
        <v>60</v>
      </c>
      <c r="N91" s="77">
        <v>5</v>
      </c>
      <c r="O91" s="78" t="s">
        <v>74</v>
      </c>
      <c r="P91" s="87"/>
      <c r="Q91" s="88"/>
      <c r="R91" s="88"/>
      <c r="S91" s="88"/>
      <c r="T91" s="88"/>
      <c r="U91" s="88"/>
      <c r="V91" s="88"/>
      <c r="W91" s="88"/>
      <c r="X91" s="89"/>
      <c r="Y91" s="89"/>
      <c r="Z91" s="82"/>
      <c r="AA91" s="78" t="s">
        <v>60</v>
      </c>
      <c r="AB91" s="87"/>
      <c r="AC91" s="88">
        <v>5</v>
      </c>
      <c r="AD91" s="88"/>
      <c r="AE91" s="88">
        <v>2</v>
      </c>
      <c r="AF91" s="88"/>
      <c r="AG91" s="88"/>
      <c r="AH91" s="88"/>
      <c r="AI91" s="88"/>
      <c r="AJ91" s="89"/>
      <c r="AK91" s="89"/>
      <c r="AL91" s="82"/>
      <c r="AM91" s="75">
        <v>1</v>
      </c>
      <c r="AN91" s="75"/>
      <c r="AO91" s="77">
        <v>1</v>
      </c>
      <c r="AP91" s="74"/>
      <c r="AQ91" s="75"/>
      <c r="AR91" s="77"/>
      <c r="AS91" s="75"/>
      <c r="AT91" s="75"/>
      <c r="AU91" s="77"/>
      <c r="AV91" s="77"/>
      <c r="AW91" s="75">
        <v>20500</v>
      </c>
      <c r="AX91" s="75"/>
      <c r="AY91" s="83">
        <v>20000</v>
      </c>
      <c r="AZ91" s="75"/>
      <c r="BA91" s="75"/>
      <c r="BB91" s="77"/>
      <c r="BC91" s="75"/>
      <c r="BD91" s="75"/>
      <c r="BE91" s="77"/>
      <c r="BF91" s="75"/>
      <c r="BG91" s="75"/>
      <c r="BH91" s="77"/>
      <c r="BI91" s="77"/>
      <c r="BJ91" s="75"/>
      <c r="BK91" s="75"/>
      <c r="BL91" s="83"/>
      <c r="BM91" s="84"/>
      <c r="BN91" s="84"/>
      <c r="BO91" s="84"/>
      <c r="BP91" s="85"/>
      <c r="BQ91" s="86"/>
      <c r="BR91" s="86"/>
    </row>
    <row r="92" spans="1:70">
      <c r="A92" s="70" t="s">
        <v>61</v>
      </c>
      <c r="B92" s="70" t="s">
        <v>121</v>
      </c>
      <c r="C92" s="71"/>
      <c r="D92" s="71" t="s">
        <v>106</v>
      </c>
      <c r="E92" s="72" t="s">
        <v>97</v>
      </c>
      <c r="F92" s="72"/>
      <c r="G92" s="72">
        <v>1</v>
      </c>
      <c r="H92" s="72"/>
      <c r="I92" s="72"/>
      <c r="J92" s="73"/>
      <c r="K92" s="74">
        <v>110</v>
      </c>
      <c r="L92" s="75">
        <v>110</v>
      </c>
      <c r="M92" s="76">
        <v>50</v>
      </c>
      <c r="N92" s="77">
        <v>4</v>
      </c>
      <c r="O92" s="78" t="s">
        <v>60</v>
      </c>
      <c r="P92" s="87"/>
      <c r="Q92" s="88">
        <v>7</v>
      </c>
      <c r="R92" s="88"/>
      <c r="S92" s="88"/>
      <c r="T92" s="88"/>
      <c r="U92" s="88"/>
      <c r="V92" s="88"/>
      <c r="W92" s="88"/>
      <c r="X92" s="89"/>
      <c r="Y92" s="89"/>
      <c r="Z92" s="82">
        <f>360*12</f>
        <v>4320</v>
      </c>
      <c r="AA92" s="78" t="s">
        <v>60</v>
      </c>
      <c r="AB92" s="87"/>
      <c r="AC92" s="88">
        <v>3</v>
      </c>
      <c r="AD92" s="88"/>
      <c r="AE92" s="88"/>
      <c r="AF92" s="88"/>
      <c r="AG92" s="88"/>
      <c r="AH92" s="88"/>
      <c r="AI92" s="88"/>
      <c r="AJ92" s="89"/>
      <c r="AK92" s="89"/>
      <c r="AL92" s="82">
        <f>390*12</f>
        <v>4680</v>
      </c>
      <c r="AM92" s="75">
        <v>1</v>
      </c>
      <c r="AN92" s="75"/>
      <c r="AO92" s="77">
        <v>1</v>
      </c>
      <c r="AP92" s="74"/>
      <c r="AQ92" s="75"/>
      <c r="AR92" s="77"/>
      <c r="AS92" s="75"/>
      <c r="AT92" s="75"/>
      <c r="AU92" s="77"/>
      <c r="AV92" s="77"/>
      <c r="AW92" s="75"/>
      <c r="AX92" s="75"/>
      <c r="AY92" s="83"/>
      <c r="AZ92" s="75">
        <v>12000</v>
      </c>
      <c r="BA92" s="75"/>
      <c r="BB92" s="77">
        <v>4000</v>
      </c>
      <c r="BC92" s="75"/>
      <c r="BD92" s="75"/>
      <c r="BE92" s="77"/>
      <c r="BF92" s="75"/>
      <c r="BG92" s="75"/>
      <c r="BH92" s="77"/>
      <c r="BI92" s="77"/>
      <c r="BJ92" s="75"/>
      <c r="BK92" s="75"/>
      <c r="BL92" s="83"/>
      <c r="BM92" s="84">
        <v>0.4</v>
      </c>
      <c r="BN92" s="84"/>
      <c r="BO92" s="84"/>
      <c r="BP92" s="85"/>
      <c r="BQ92" s="86"/>
      <c r="BR92" s="86"/>
    </row>
    <row r="93" spans="1:70">
      <c r="A93" s="70"/>
      <c r="B93" s="70" t="s">
        <v>62</v>
      </c>
      <c r="C93" s="71"/>
      <c r="D93" s="71" t="s">
        <v>106</v>
      </c>
      <c r="E93" s="72" t="s">
        <v>97</v>
      </c>
      <c r="F93" s="72"/>
      <c r="G93" s="72">
        <v>1</v>
      </c>
      <c r="H93" s="72"/>
      <c r="I93" s="72"/>
      <c r="J93" s="73"/>
      <c r="K93" s="74">
        <v>150</v>
      </c>
      <c r="L93" s="75">
        <v>150</v>
      </c>
      <c r="M93" s="76">
        <v>3</v>
      </c>
      <c r="N93" s="77">
        <v>4</v>
      </c>
      <c r="O93" s="78"/>
      <c r="P93" s="87"/>
      <c r="Q93" s="88"/>
      <c r="R93" s="88"/>
      <c r="S93" s="88"/>
      <c r="T93" s="88"/>
      <c r="U93" s="88"/>
      <c r="V93" s="88"/>
      <c r="W93" s="88"/>
      <c r="X93" s="89"/>
      <c r="Y93" s="89"/>
      <c r="Z93" s="82"/>
      <c r="AA93" s="78" t="s">
        <v>60</v>
      </c>
      <c r="AB93" s="87"/>
      <c r="AC93" s="88"/>
      <c r="AD93" s="88">
        <v>4</v>
      </c>
      <c r="AE93" s="88"/>
      <c r="AF93" s="88"/>
      <c r="AG93" s="88"/>
      <c r="AH93" s="88"/>
      <c r="AI93" s="88"/>
      <c r="AJ93" s="89"/>
      <c r="AK93" s="89"/>
      <c r="AL93" s="82">
        <v>3800</v>
      </c>
      <c r="AM93" s="75">
        <v>1</v>
      </c>
      <c r="AN93" s="75"/>
      <c r="AO93" s="77"/>
      <c r="AP93" s="74"/>
      <c r="AQ93" s="75"/>
      <c r="AR93" s="77"/>
      <c r="AS93" s="75"/>
      <c r="AT93" s="75"/>
      <c r="AU93" s="77"/>
      <c r="AV93" s="77"/>
      <c r="AW93" s="75"/>
      <c r="AX93" s="75"/>
      <c r="AY93" s="83"/>
      <c r="AZ93" s="75">
        <v>10000</v>
      </c>
      <c r="BA93" s="75"/>
      <c r="BB93" s="77"/>
      <c r="BC93" s="75"/>
      <c r="BD93" s="75"/>
      <c r="BE93" s="77"/>
      <c r="BF93" s="75"/>
      <c r="BG93" s="75"/>
      <c r="BH93" s="77"/>
      <c r="BI93" s="77"/>
      <c r="BJ93" s="75"/>
      <c r="BK93" s="75"/>
      <c r="BL93" s="83"/>
      <c r="BM93" s="84">
        <v>0.9</v>
      </c>
      <c r="BN93" s="84"/>
      <c r="BO93" s="84"/>
      <c r="BP93" s="85"/>
      <c r="BQ93" s="86"/>
      <c r="BR93" s="86"/>
    </row>
    <row r="94" spans="1:70">
      <c r="A94" s="70"/>
      <c r="C94" s="71"/>
      <c r="D94" s="71" t="s">
        <v>106</v>
      </c>
      <c r="E94" s="72" t="s">
        <v>97</v>
      </c>
      <c r="F94" s="72"/>
      <c r="G94" s="72">
        <v>1</v>
      </c>
      <c r="H94" s="72"/>
      <c r="I94" s="72"/>
      <c r="J94" s="73"/>
      <c r="K94" s="74">
        <v>100</v>
      </c>
      <c r="L94" s="75">
        <v>100</v>
      </c>
      <c r="M94" s="76">
        <v>27</v>
      </c>
      <c r="N94" s="77">
        <v>4</v>
      </c>
      <c r="O94" s="78" t="s">
        <v>102</v>
      </c>
      <c r="P94" s="87"/>
      <c r="Q94" s="88"/>
      <c r="R94" s="88">
        <v>7.5</v>
      </c>
      <c r="S94" s="88"/>
      <c r="T94" s="88"/>
      <c r="U94" s="88"/>
      <c r="V94" s="88"/>
      <c r="W94" s="88"/>
      <c r="X94" s="89"/>
      <c r="Y94" s="89"/>
      <c r="Z94" s="82"/>
      <c r="AA94" s="78" t="s">
        <v>102</v>
      </c>
      <c r="AB94" s="87"/>
      <c r="AC94" s="88"/>
      <c r="AD94" s="88">
        <v>5</v>
      </c>
      <c r="AE94" s="88"/>
      <c r="AF94" s="88"/>
      <c r="AG94" s="88"/>
      <c r="AH94" s="88"/>
      <c r="AI94" s="88"/>
      <c r="AJ94" s="89"/>
      <c r="AK94" s="89"/>
      <c r="AL94" s="82">
        <v>4282</v>
      </c>
      <c r="AM94" s="75">
        <v>1</v>
      </c>
      <c r="AN94" s="75"/>
      <c r="AO94" s="77">
        <v>1</v>
      </c>
      <c r="AP94" s="74"/>
      <c r="AQ94" s="75"/>
      <c r="AR94" s="77"/>
      <c r="AS94" s="75"/>
      <c r="AT94" s="75"/>
      <c r="AU94" s="77"/>
      <c r="AV94" s="77"/>
      <c r="AW94" s="75"/>
      <c r="AX94" s="75"/>
      <c r="AY94" s="83"/>
      <c r="AZ94" s="75">
        <v>10000</v>
      </c>
      <c r="BA94" s="75"/>
      <c r="BB94" s="77">
        <v>10000</v>
      </c>
      <c r="BC94" s="75"/>
      <c r="BD94" s="75"/>
      <c r="BE94" s="77"/>
      <c r="BF94" s="75"/>
      <c r="BG94" s="75"/>
      <c r="BH94" s="77"/>
      <c r="BI94" s="77"/>
      <c r="BJ94" s="75"/>
      <c r="BK94" s="75"/>
      <c r="BL94" s="83"/>
      <c r="BM94" s="84">
        <v>0.8</v>
      </c>
      <c r="BN94" s="84"/>
      <c r="BO94" s="84"/>
      <c r="BP94" s="85"/>
      <c r="BQ94" s="86"/>
      <c r="BR94" s="86"/>
    </row>
    <row r="95" spans="1:70">
      <c r="A95" s="70" t="s">
        <v>42</v>
      </c>
      <c r="B95" s="70" t="s">
        <v>104</v>
      </c>
      <c r="C95" s="71" t="s">
        <v>137</v>
      </c>
      <c r="D95" s="71" t="s">
        <v>44</v>
      </c>
      <c r="E95" s="72" t="s">
        <v>97</v>
      </c>
      <c r="F95" s="72"/>
      <c r="G95" s="72">
        <v>1</v>
      </c>
      <c r="H95" s="72"/>
      <c r="I95" s="72"/>
      <c r="J95" s="73"/>
      <c r="K95" s="74">
        <v>112.07</v>
      </c>
      <c r="L95" s="75">
        <v>94.07</v>
      </c>
      <c r="M95" s="76">
        <v>7</v>
      </c>
      <c r="N95" s="77">
        <v>3</v>
      </c>
      <c r="O95" s="78" t="s">
        <v>60</v>
      </c>
      <c r="P95" s="87"/>
      <c r="Q95" s="88"/>
      <c r="R95" s="88">
        <v>4.5</v>
      </c>
      <c r="S95" s="88">
        <v>1</v>
      </c>
      <c r="T95" s="88"/>
      <c r="U95" s="88"/>
      <c r="V95" s="88"/>
      <c r="W95" s="88"/>
      <c r="X95" s="89"/>
      <c r="Y95" s="89"/>
      <c r="Z95" s="82">
        <v>2503</v>
      </c>
      <c r="AA95" s="78" t="s">
        <v>60</v>
      </c>
      <c r="AB95" s="87"/>
      <c r="AC95" s="88"/>
      <c r="AD95" s="88">
        <v>4</v>
      </c>
      <c r="AE95" s="88">
        <v>1</v>
      </c>
      <c r="AF95" s="88"/>
      <c r="AG95" s="88"/>
      <c r="AH95" s="88"/>
      <c r="AI95" s="88"/>
      <c r="AJ95" s="89"/>
      <c r="AK95" s="89"/>
      <c r="AL95" s="82">
        <v>2556</v>
      </c>
      <c r="AM95" s="75"/>
      <c r="AN95" s="75"/>
      <c r="AO95" s="77">
        <v>1</v>
      </c>
      <c r="AP95" s="74"/>
      <c r="AQ95" s="75"/>
      <c r="AR95" s="77"/>
      <c r="AS95" s="75"/>
      <c r="AT95" s="75"/>
      <c r="AU95" s="77"/>
      <c r="AV95" s="77"/>
      <c r="AW95" s="75"/>
      <c r="AX95" s="75"/>
      <c r="AY95" s="83"/>
      <c r="AZ95" s="75"/>
      <c r="BA95" s="75"/>
      <c r="BB95" s="77">
        <v>20000</v>
      </c>
      <c r="BC95" s="75"/>
      <c r="BD95" s="75"/>
      <c r="BE95" s="77"/>
      <c r="BF95" s="75"/>
      <c r="BG95" s="75"/>
      <c r="BH95" s="77"/>
      <c r="BI95" s="77"/>
      <c r="BJ95" s="75"/>
      <c r="BK95" s="75"/>
      <c r="BL95" s="83"/>
      <c r="BM95" s="84">
        <v>0.25</v>
      </c>
      <c r="BN95" s="84"/>
      <c r="BO95" s="84"/>
      <c r="BP95" s="85"/>
      <c r="BQ95" s="86"/>
      <c r="BR95" s="86"/>
    </row>
    <row r="96" spans="1:70">
      <c r="A96" s="70" t="s">
        <v>42</v>
      </c>
      <c r="B96" s="70" t="s">
        <v>104</v>
      </c>
      <c r="C96" s="71" t="s">
        <v>138</v>
      </c>
      <c r="D96" s="71" t="s">
        <v>44</v>
      </c>
      <c r="E96" s="72" t="s">
        <v>97</v>
      </c>
      <c r="F96" s="72"/>
      <c r="G96" s="72">
        <v>1</v>
      </c>
      <c r="H96" s="72"/>
      <c r="I96" s="72"/>
      <c r="J96" s="73"/>
      <c r="K96" s="74">
        <v>141</v>
      </c>
      <c r="L96" s="75">
        <v>121</v>
      </c>
      <c r="M96" s="76">
        <v>27</v>
      </c>
      <c r="N96" s="77">
        <v>4</v>
      </c>
      <c r="O96" s="78" t="s">
        <v>60</v>
      </c>
      <c r="P96" s="87"/>
      <c r="Q96" s="88"/>
      <c r="R96" s="88">
        <v>6</v>
      </c>
      <c r="S96" s="88">
        <v>1</v>
      </c>
      <c r="T96" s="88"/>
      <c r="U96" s="88"/>
      <c r="V96" s="88"/>
      <c r="W96" s="88"/>
      <c r="X96" s="89"/>
      <c r="Y96" s="89"/>
      <c r="Z96" s="82">
        <v>2604</v>
      </c>
      <c r="AA96" s="78" t="s">
        <v>139</v>
      </c>
      <c r="AB96" s="87"/>
      <c r="AC96" s="88"/>
      <c r="AD96" s="88">
        <v>2</v>
      </c>
      <c r="AE96" s="88">
        <v>1</v>
      </c>
      <c r="AF96" s="88"/>
      <c r="AG96" s="88"/>
      <c r="AH96" s="88">
        <v>2984</v>
      </c>
      <c r="AI96" s="88"/>
      <c r="AJ96" s="89"/>
      <c r="AK96" s="89"/>
      <c r="AL96" s="82">
        <v>2727</v>
      </c>
      <c r="AM96" s="75">
        <v>1</v>
      </c>
      <c r="AN96" s="75"/>
      <c r="AO96" s="77">
        <v>2</v>
      </c>
      <c r="AP96" s="74"/>
      <c r="AQ96" s="75"/>
      <c r="AR96" s="77"/>
      <c r="AS96" s="75"/>
      <c r="AT96" s="75"/>
      <c r="AU96" s="77"/>
      <c r="AV96" s="77"/>
      <c r="AW96" s="75"/>
      <c r="AX96" s="75"/>
      <c r="AY96" s="83"/>
      <c r="AZ96" s="75">
        <v>10000</v>
      </c>
      <c r="BA96" s="75"/>
      <c r="BB96" s="77">
        <v>12000</v>
      </c>
      <c r="BC96" s="75"/>
      <c r="BD96" s="75"/>
      <c r="BE96" s="77"/>
      <c r="BF96" s="75"/>
      <c r="BG96" s="75"/>
      <c r="BH96" s="77"/>
      <c r="BI96" s="77"/>
      <c r="BJ96" s="75"/>
      <c r="BK96" s="75"/>
      <c r="BL96" s="83"/>
      <c r="BM96" s="84">
        <v>0.2</v>
      </c>
      <c r="BN96" s="84"/>
      <c r="BO96" s="84"/>
      <c r="BP96" s="85"/>
      <c r="BQ96" s="86"/>
      <c r="BR96" s="86"/>
    </row>
    <row r="97" spans="1:70">
      <c r="A97" s="70" t="s">
        <v>52</v>
      </c>
      <c r="B97" s="70" t="s">
        <v>53</v>
      </c>
      <c r="C97" s="71" t="s">
        <v>140</v>
      </c>
      <c r="D97" s="71" t="s">
        <v>44</v>
      </c>
      <c r="E97" s="72" t="s">
        <v>97</v>
      </c>
      <c r="F97" s="72"/>
      <c r="G97" s="72">
        <v>1</v>
      </c>
      <c r="H97" s="72"/>
      <c r="I97" s="72"/>
      <c r="J97" s="73"/>
      <c r="K97" s="74">
        <v>120</v>
      </c>
      <c r="L97" s="75">
        <v>120</v>
      </c>
      <c r="M97" s="76">
        <v>38</v>
      </c>
      <c r="N97" s="77">
        <v>5</v>
      </c>
      <c r="O97" s="78" t="s">
        <v>74</v>
      </c>
      <c r="P97" s="87"/>
      <c r="Q97" s="88">
        <v>6</v>
      </c>
      <c r="R97" s="88"/>
      <c r="S97" s="88"/>
      <c r="T97" s="88"/>
      <c r="U97" s="88"/>
      <c r="V97" s="88"/>
      <c r="W97" s="88"/>
      <c r="X97" s="89"/>
      <c r="Y97" s="89"/>
      <c r="Z97" s="82">
        <v>10000</v>
      </c>
      <c r="AA97" s="78" t="s">
        <v>74</v>
      </c>
      <c r="AB97" s="87"/>
      <c r="AC97" s="88">
        <v>6</v>
      </c>
      <c r="AD97" s="88"/>
      <c r="AE97" s="88"/>
      <c r="AF97" s="88"/>
      <c r="AG97" s="88"/>
      <c r="AH97" s="88"/>
      <c r="AI97" s="88"/>
      <c r="AJ97" s="89"/>
      <c r="AK97" s="89"/>
      <c r="AL97" s="82">
        <v>10000</v>
      </c>
      <c r="AM97" s="75">
        <v>1</v>
      </c>
      <c r="AN97" s="75"/>
      <c r="AO97" s="77"/>
      <c r="AP97" s="74"/>
      <c r="AQ97" s="75"/>
      <c r="AR97" s="77"/>
      <c r="AS97" s="75"/>
      <c r="AT97" s="75"/>
      <c r="AU97" s="77"/>
      <c r="AV97" s="77"/>
      <c r="AW97" s="75"/>
      <c r="AX97" s="75"/>
      <c r="AY97" s="83"/>
      <c r="AZ97" s="75">
        <v>5000</v>
      </c>
      <c r="BA97" s="75"/>
      <c r="BB97" s="77"/>
      <c r="BC97" s="75"/>
      <c r="BD97" s="75"/>
      <c r="BE97" s="77"/>
      <c r="BF97" s="75"/>
      <c r="BG97" s="75"/>
      <c r="BH97" s="77"/>
      <c r="BI97" s="77"/>
      <c r="BJ97" s="75"/>
      <c r="BK97" s="75"/>
      <c r="BL97" s="83"/>
      <c r="BM97" s="84">
        <v>0.3</v>
      </c>
      <c r="BN97" s="84"/>
      <c r="BO97" s="84"/>
      <c r="BP97" s="85"/>
      <c r="BQ97" s="86"/>
      <c r="BR97" s="86"/>
    </row>
    <row r="98" spans="1:70">
      <c r="A98" s="70" t="s">
        <v>52</v>
      </c>
      <c r="B98" s="70" t="s">
        <v>116</v>
      </c>
      <c r="C98" s="71" t="s">
        <v>141</v>
      </c>
      <c r="D98" s="71" t="s">
        <v>44</v>
      </c>
      <c r="E98" s="72" t="s">
        <v>97</v>
      </c>
      <c r="F98" s="72"/>
      <c r="G98" s="72">
        <v>1</v>
      </c>
      <c r="H98" s="72"/>
      <c r="I98" s="72"/>
      <c r="J98" s="73"/>
      <c r="K98" s="74">
        <v>150</v>
      </c>
      <c r="L98" s="75">
        <v>150</v>
      </c>
      <c r="M98" s="76">
        <v>53</v>
      </c>
      <c r="N98" s="77">
        <v>3</v>
      </c>
      <c r="O98" s="78" t="s">
        <v>74</v>
      </c>
      <c r="P98" s="87"/>
      <c r="Q98" s="88">
        <v>5</v>
      </c>
      <c r="R98" s="88"/>
      <c r="S98" s="88"/>
      <c r="T98" s="88"/>
      <c r="U98" s="88"/>
      <c r="V98" s="88"/>
      <c r="W98" s="88"/>
      <c r="X98" s="89"/>
      <c r="Y98" s="89"/>
      <c r="Z98" s="82"/>
      <c r="AA98" s="78" t="s">
        <v>74</v>
      </c>
      <c r="AB98" s="87"/>
      <c r="AC98" s="88">
        <v>5</v>
      </c>
      <c r="AD98" s="88"/>
      <c r="AE98" s="88"/>
      <c r="AF98" s="88"/>
      <c r="AG98" s="88"/>
      <c r="AH98" s="88"/>
      <c r="AI98" s="88"/>
      <c r="AJ98" s="89"/>
      <c r="AK98" s="89"/>
      <c r="AL98" s="82"/>
      <c r="AM98" s="75">
        <v>1</v>
      </c>
      <c r="AN98" s="75"/>
      <c r="AO98" s="77">
        <v>1</v>
      </c>
      <c r="AP98" s="74"/>
      <c r="AQ98" s="75"/>
      <c r="AR98" s="77"/>
      <c r="AS98" s="75"/>
      <c r="AT98" s="75"/>
      <c r="AU98" s="77"/>
      <c r="AV98" s="77"/>
      <c r="AW98" s="75"/>
      <c r="AX98" s="75"/>
      <c r="AY98" s="83"/>
      <c r="AZ98" s="75">
        <v>5000</v>
      </c>
      <c r="BA98" s="75"/>
      <c r="BB98" s="77">
        <v>20000</v>
      </c>
      <c r="BC98" s="75"/>
      <c r="BD98" s="75"/>
      <c r="BE98" s="77"/>
      <c r="BF98" s="75"/>
      <c r="BG98" s="75"/>
      <c r="BH98" s="77"/>
      <c r="BI98" s="77"/>
      <c r="BJ98" s="75"/>
      <c r="BK98" s="75"/>
      <c r="BL98" s="83"/>
      <c r="BM98" s="84">
        <v>0.5</v>
      </c>
      <c r="BN98" s="84"/>
      <c r="BO98" s="84"/>
      <c r="BP98" s="85"/>
      <c r="BQ98" s="86"/>
      <c r="BR98" s="86"/>
    </row>
    <row r="99" spans="1:70">
      <c r="A99" s="70"/>
      <c r="B99" s="70" t="s">
        <v>142</v>
      </c>
      <c r="C99" s="71" t="s">
        <v>143</v>
      </c>
      <c r="D99" s="71" t="s">
        <v>44</v>
      </c>
      <c r="E99" s="72" t="s">
        <v>97</v>
      </c>
      <c r="F99" s="72"/>
      <c r="G99" s="72">
        <v>1</v>
      </c>
      <c r="H99" s="72"/>
      <c r="I99" s="72"/>
      <c r="J99" s="73"/>
      <c r="K99" s="74">
        <v>100</v>
      </c>
      <c r="L99" s="75">
        <v>90</v>
      </c>
      <c r="M99" s="76">
        <v>36</v>
      </c>
      <c r="N99" s="77">
        <v>6</v>
      </c>
      <c r="O99" s="78" t="s">
        <v>74</v>
      </c>
      <c r="P99" s="87"/>
      <c r="Q99" s="88"/>
      <c r="R99" s="88"/>
      <c r="S99" s="88"/>
      <c r="T99" s="88"/>
      <c r="U99" s="88"/>
      <c r="V99" s="88"/>
      <c r="W99" s="88"/>
      <c r="X99" s="89"/>
      <c r="Y99" s="89"/>
      <c r="Z99" s="82">
        <v>3000</v>
      </c>
      <c r="AA99" s="78" t="s">
        <v>74</v>
      </c>
      <c r="AB99" s="87"/>
      <c r="AC99" s="88">
        <v>8</v>
      </c>
      <c r="AD99" s="88"/>
      <c r="AE99" s="88"/>
      <c r="AF99" s="88"/>
      <c r="AG99" s="88"/>
      <c r="AH99" s="88"/>
      <c r="AI99" s="88"/>
      <c r="AJ99" s="89"/>
      <c r="AK99" s="89"/>
      <c r="AL99" s="82">
        <v>3500</v>
      </c>
      <c r="AM99" s="75"/>
      <c r="AN99" s="75"/>
      <c r="AO99" s="77">
        <v>1</v>
      </c>
      <c r="AP99" s="74"/>
      <c r="AQ99" s="75"/>
      <c r="AR99" s="77"/>
      <c r="AS99" s="75"/>
      <c r="AT99" s="75"/>
      <c r="AU99" s="77"/>
      <c r="AV99" s="77"/>
      <c r="AW99" s="75"/>
      <c r="AX99" s="75"/>
      <c r="AY99" s="83"/>
      <c r="AZ99" s="75"/>
      <c r="BA99" s="75"/>
      <c r="BB99" s="77">
        <v>9000</v>
      </c>
      <c r="BC99" s="75"/>
      <c r="BD99" s="75"/>
      <c r="BE99" s="77"/>
      <c r="BF99" s="75"/>
      <c r="BG99" s="75"/>
      <c r="BH99" s="77"/>
      <c r="BI99" s="77"/>
      <c r="BJ99" s="75"/>
      <c r="BK99" s="75"/>
      <c r="BL99" s="83"/>
      <c r="BM99" s="84">
        <v>0.5</v>
      </c>
      <c r="BN99" s="84"/>
      <c r="BO99" s="84"/>
      <c r="BP99" s="85"/>
      <c r="BQ99" s="86"/>
      <c r="BR99" s="86"/>
    </row>
    <row r="100" spans="1:70">
      <c r="A100" s="70"/>
      <c r="B100" s="70" t="s">
        <v>144</v>
      </c>
      <c r="C100" s="71" t="s">
        <v>145</v>
      </c>
      <c r="D100" s="71" t="s">
        <v>44</v>
      </c>
      <c r="E100" s="72" t="s">
        <v>97</v>
      </c>
      <c r="F100" s="72"/>
      <c r="G100" s="72">
        <v>1</v>
      </c>
      <c r="H100" s="72"/>
      <c r="I100" s="72"/>
      <c r="J100" s="73"/>
      <c r="K100" s="74">
        <v>120</v>
      </c>
      <c r="L100" s="75">
        <v>85</v>
      </c>
      <c r="M100" s="76">
        <v>50</v>
      </c>
      <c r="N100" s="77">
        <v>3</v>
      </c>
      <c r="O100" s="78" t="s">
        <v>60</v>
      </c>
      <c r="P100" s="87"/>
      <c r="Q100" s="88">
        <v>4.5</v>
      </c>
      <c r="R100" s="88"/>
      <c r="S100" s="88"/>
      <c r="T100" s="88"/>
      <c r="U100" s="88"/>
      <c r="V100" s="88"/>
      <c r="W100" s="88"/>
      <c r="X100" s="89"/>
      <c r="Y100" s="89"/>
      <c r="Z100" s="82"/>
      <c r="AA100" s="90" t="s">
        <v>60</v>
      </c>
      <c r="AB100" s="87"/>
      <c r="AC100" s="88">
        <v>4.5</v>
      </c>
      <c r="AD100" s="88"/>
      <c r="AE100" s="88"/>
      <c r="AF100" s="88"/>
      <c r="AG100" s="88"/>
      <c r="AH100" s="88"/>
      <c r="AI100" s="88"/>
      <c r="AJ100" s="89"/>
      <c r="AK100" s="89"/>
      <c r="AL100" s="82"/>
      <c r="AM100" s="75">
        <v>1</v>
      </c>
      <c r="AN100" s="75"/>
      <c r="AO100" s="77">
        <v>1</v>
      </c>
      <c r="AP100" s="74"/>
      <c r="AQ100" s="75"/>
      <c r="AR100" s="77"/>
      <c r="AS100" s="75"/>
      <c r="AT100" s="75"/>
      <c r="AU100" s="77"/>
      <c r="AV100" s="77"/>
      <c r="AW100" s="75"/>
      <c r="AX100" s="75"/>
      <c r="AY100" s="83"/>
      <c r="AZ100" s="75">
        <v>17000</v>
      </c>
      <c r="BA100" s="75"/>
      <c r="BB100" s="77">
        <v>40000</v>
      </c>
      <c r="BC100" s="75"/>
      <c r="BD100" s="75"/>
      <c r="BE100" s="77"/>
      <c r="BF100" s="75"/>
      <c r="BG100" s="75"/>
      <c r="BH100" s="77"/>
      <c r="BI100" s="77"/>
      <c r="BJ100" s="75"/>
      <c r="BK100" s="75"/>
      <c r="BL100" s="83"/>
      <c r="BM100" s="84">
        <v>0.45</v>
      </c>
      <c r="BN100" s="84"/>
      <c r="BO100" s="84"/>
      <c r="BP100" s="85"/>
      <c r="BQ100" s="86"/>
      <c r="BR100" s="86"/>
    </row>
    <row r="101" spans="1:70">
      <c r="A101" s="70" t="s">
        <v>52</v>
      </c>
      <c r="B101" s="70" t="s">
        <v>116</v>
      </c>
      <c r="C101" s="71" t="s">
        <v>146</v>
      </c>
      <c r="D101" s="71" t="s">
        <v>44</v>
      </c>
      <c r="E101" s="72" t="s">
        <v>97</v>
      </c>
      <c r="F101" s="72"/>
      <c r="G101" s="72">
        <v>1</v>
      </c>
      <c r="H101" s="72"/>
      <c r="I101" s="72"/>
      <c r="J101" s="73"/>
      <c r="K101" s="74">
        <v>130</v>
      </c>
      <c r="L101" s="75">
        <v>130</v>
      </c>
      <c r="M101" s="76">
        <v>19</v>
      </c>
      <c r="N101" s="77">
        <v>3</v>
      </c>
      <c r="O101" s="78" t="s">
        <v>74</v>
      </c>
      <c r="P101" s="87"/>
      <c r="Q101" s="88">
        <v>5</v>
      </c>
      <c r="R101" s="88"/>
      <c r="S101" s="88">
        <v>7</v>
      </c>
      <c r="T101" s="88"/>
      <c r="U101" s="88"/>
      <c r="V101" s="88"/>
      <c r="W101" s="88"/>
      <c r="X101" s="89"/>
      <c r="Y101" s="89"/>
      <c r="Z101" s="82">
        <v>3000</v>
      </c>
      <c r="AA101" s="78" t="s">
        <v>74</v>
      </c>
      <c r="AB101" s="87"/>
      <c r="AC101" s="88">
        <v>5</v>
      </c>
      <c r="AD101" s="88"/>
      <c r="AE101" s="88">
        <v>7</v>
      </c>
      <c r="AF101" s="88"/>
      <c r="AG101" s="88"/>
      <c r="AH101" s="88"/>
      <c r="AI101" s="88"/>
      <c r="AJ101" s="89"/>
      <c r="AK101" s="89"/>
      <c r="AL101" s="82">
        <v>3000</v>
      </c>
      <c r="AM101" s="75">
        <v>1</v>
      </c>
      <c r="AN101" s="75"/>
      <c r="AO101" s="77"/>
      <c r="AP101" s="74"/>
      <c r="AQ101" s="75"/>
      <c r="AR101" s="77"/>
      <c r="AS101" s="75"/>
      <c r="AT101" s="75"/>
      <c r="AU101" s="77"/>
      <c r="AV101" s="77"/>
      <c r="AW101" s="75"/>
      <c r="AX101" s="75"/>
      <c r="AY101" s="83"/>
      <c r="AZ101" s="75">
        <v>12000</v>
      </c>
      <c r="BA101" s="75"/>
      <c r="BB101" s="77"/>
      <c r="BC101" s="75"/>
      <c r="BD101" s="75"/>
      <c r="BE101" s="77"/>
      <c r="BF101" s="75"/>
      <c r="BG101" s="75"/>
      <c r="BH101" s="77"/>
      <c r="BI101" s="77"/>
      <c r="BJ101" s="75"/>
      <c r="BK101" s="75"/>
      <c r="BL101" s="83"/>
      <c r="BM101" s="84">
        <v>0.7</v>
      </c>
      <c r="BN101" s="84"/>
      <c r="BO101" s="84"/>
      <c r="BP101" s="85"/>
      <c r="BQ101" s="86"/>
      <c r="BR101" s="86"/>
    </row>
    <row r="102" spans="1:70">
      <c r="A102" s="70" t="s">
        <v>42</v>
      </c>
      <c r="B102" s="70" t="s">
        <v>43</v>
      </c>
      <c r="C102" s="71" t="s">
        <v>124</v>
      </c>
      <c r="D102" s="71" t="s">
        <v>44</v>
      </c>
      <c r="E102" s="72" t="s">
        <v>97</v>
      </c>
      <c r="F102" s="72"/>
      <c r="G102" s="72">
        <v>1</v>
      </c>
      <c r="H102" s="72"/>
      <c r="I102" s="72"/>
      <c r="J102" s="73"/>
      <c r="K102" s="74">
        <v>250</v>
      </c>
      <c r="L102" s="75">
        <v>200</v>
      </c>
      <c r="M102" s="76">
        <v>40</v>
      </c>
      <c r="N102" s="77">
        <v>6</v>
      </c>
      <c r="O102" s="78" t="s">
        <v>60</v>
      </c>
      <c r="P102" s="87"/>
      <c r="Q102" s="88">
        <v>5</v>
      </c>
      <c r="R102" s="88"/>
      <c r="S102" s="88">
        <v>4</v>
      </c>
      <c r="T102" s="88"/>
      <c r="U102" s="88"/>
      <c r="V102" s="88"/>
      <c r="W102" s="88"/>
      <c r="X102" s="89"/>
      <c r="Y102" s="89"/>
      <c r="Z102" s="82"/>
      <c r="AA102" s="78" t="s">
        <v>102</v>
      </c>
      <c r="AB102" s="87"/>
      <c r="AC102" s="88">
        <v>5.5</v>
      </c>
      <c r="AD102" s="88"/>
      <c r="AE102" s="88">
        <v>2</v>
      </c>
      <c r="AF102" s="88"/>
      <c r="AG102" s="88"/>
      <c r="AH102" s="88"/>
      <c r="AI102" s="88"/>
      <c r="AJ102" s="89"/>
      <c r="AK102" s="89"/>
      <c r="AL102" s="82"/>
      <c r="AM102" s="75"/>
      <c r="AN102" s="75"/>
      <c r="AO102" s="77">
        <v>3</v>
      </c>
      <c r="AP102" s="74"/>
      <c r="AQ102" s="75"/>
      <c r="AR102" s="77"/>
      <c r="AS102" s="75"/>
      <c r="AT102" s="75"/>
      <c r="AU102" s="77"/>
      <c r="AV102" s="77"/>
      <c r="AW102" s="75"/>
      <c r="AX102" s="75"/>
      <c r="AY102" s="83"/>
      <c r="AZ102" s="75"/>
      <c r="BA102" s="75"/>
      <c r="BB102" s="77">
        <f>30000/AO102</f>
        <v>10000</v>
      </c>
      <c r="BC102" s="75"/>
      <c r="BD102" s="75"/>
      <c r="BE102" s="77"/>
      <c r="BF102" s="75"/>
      <c r="BG102" s="75"/>
      <c r="BH102" s="77"/>
      <c r="BI102" s="77"/>
      <c r="BJ102" s="75"/>
      <c r="BK102" s="75"/>
      <c r="BL102" s="83"/>
      <c r="BM102" s="84">
        <v>1</v>
      </c>
      <c r="BN102" s="84"/>
      <c r="BO102" s="84"/>
      <c r="BP102" s="85"/>
      <c r="BQ102" s="86"/>
      <c r="BR102" s="86"/>
    </row>
    <row r="103" spans="1:70">
      <c r="A103" s="70"/>
      <c r="B103" s="70"/>
      <c r="C103" s="71"/>
      <c r="D103" s="71" t="s">
        <v>44</v>
      </c>
      <c r="E103" s="72" t="s">
        <v>97</v>
      </c>
      <c r="F103" s="72"/>
      <c r="G103" s="72">
        <v>1</v>
      </c>
      <c r="H103" s="72"/>
      <c r="I103" s="72"/>
      <c r="J103" s="73"/>
      <c r="K103" s="74">
        <v>250</v>
      </c>
      <c r="L103" s="75">
        <v>250</v>
      </c>
      <c r="M103" s="76">
        <v>100</v>
      </c>
      <c r="N103" s="77">
        <v>4</v>
      </c>
      <c r="O103" s="78" t="s">
        <v>74</v>
      </c>
      <c r="P103" s="87"/>
      <c r="Q103" s="88">
        <v>6</v>
      </c>
      <c r="R103" s="88"/>
      <c r="S103" s="88"/>
      <c r="T103" s="88"/>
      <c r="U103" s="88"/>
      <c r="V103" s="88"/>
      <c r="W103" s="88"/>
      <c r="X103" s="89"/>
      <c r="Y103" s="89"/>
      <c r="Z103" s="82"/>
      <c r="AA103" s="78" t="s">
        <v>147</v>
      </c>
      <c r="AB103" s="87"/>
      <c r="AC103" s="88">
        <v>4</v>
      </c>
      <c r="AD103" s="88"/>
      <c r="AE103" s="88">
        <v>2</v>
      </c>
      <c r="AF103" s="88"/>
      <c r="AG103" s="88"/>
      <c r="AH103" s="88"/>
      <c r="AI103" s="88"/>
      <c r="AJ103" s="89"/>
      <c r="AK103" s="89"/>
      <c r="AL103" s="82">
        <v>10000</v>
      </c>
      <c r="AM103" s="75">
        <v>1</v>
      </c>
      <c r="AN103" s="75"/>
      <c r="AO103" s="77">
        <v>1</v>
      </c>
      <c r="AP103" s="74"/>
      <c r="AQ103" s="75"/>
      <c r="AR103" s="77"/>
      <c r="AS103" s="75"/>
      <c r="AT103" s="75"/>
      <c r="AU103" s="77"/>
      <c r="AV103" s="77"/>
      <c r="AW103" s="75"/>
      <c r="AX103" s="75"/>
      <c r="AY103" s="83"/>
      <c r="AZ103" s="75">
        <v>21000</v>
      </c>
      <c r="BA103" s="75"/>
      <c r="BB103" s="77">
        <v>50000</v>
      </c>
      <c r="BC103" s="75"/>
      <c r="BD103" s="75"/>
      <c r="BE103" s="77"/>
      <c r="BF103" s="75"/>
      <c r="BG103" s="75"/>
      <c r="BH103" s="77"/>
      <c r="BI103" s="77"/>
      <c r="BJ103" s="75"/>
      <c r="BK103" s="75"/>
      <c r="BL103" s="83"/>
      <c r="BM103" s="84">
        <v>0.1</v>
      </c>
      <c r="BN103" s="84"/>
      <c r="BO103" s="84"/>
      <c r="BP103" s="85"/>
      <c r="BQ103" s="86"/>
      <c r="BR103" s="86"/>
    </row>
    <row r="104" spans="1:70">
      <c r="A104" s="70" t="s">
        <v>52</v>
      </c>
      <c r="B104" s="70" t="s">
        <v>116</v>
      </c>
      <c r="C104" s="71" t="s">
        <v>148</v>
      </c>
      <c r="D104" s="71" t="s">
        <v>44</v>
      </c>
      <c r="E104" s="72" t="s">
        <v>97</v>
      </c>
      <c r="F104" s="72"/>
      <c r="G104" s="72">
        <v>1</v>
      </c>
      <c r="H104" s="72"/>
      <c r="I104" s="72"/>
      <c r="J104" s="73"/>
      <c r="K104" s="74">
        <v>190</v>
      </c>
      <c r="L104" s="75">
        <v>190</v>
      </c>
      <c r="M104" s="76">
        <f>2015-1989</f>
        <v>26</v>
      </c>
      <c r="N104" s="77">
        <v>2</v>
      </c>
      <c r="O104" s="78" t="s">
        <v>60</v>
      </c>
      <c r="P104" s="87"/>
      <c r="Q104" s="88">
        <v>4</v>
      </c>
      <c r="R104" s="88"/>
      <c r="S104" s="88">
        <v>4</v>
      </c>
      <c r="T104" s="88"/>
      <c r="U104" s="88"/>
      <c r="V104" s="88"/>
      <c r="W104" s="88"/>
      <c r="X104" s="89"/>
      <c r="Y104" s="89"/>
      <c r="Z104" s="82">
        <v>3800</v>
      </c>
      <c r="AA104" s="78" t="s">
        <v>60</v>
      </c>
      <c r="AB104" s="87"/>
      <c r="AC104" s="88">
        <v>4</v>
      </c>
      <c r="AD104" s="88"/>
      <c r="AE104" s="88">
        <v>4</v>
      </c>
      <c r="AF104" s="88"/>
      <c r="AG104" s="88"/>
      <c r="AH104" s="88"/>
      <c r="AI104" s="88"/>
      <c r="AJ104" s="89"/>
      <c r="AK104" s="89"/>
      <c r="AL104" s="82">
        <v>4000</v>
      </c>
      <c r="AM104" s="75">
        <v>2</v>
      </c>
      <c r="AN104" s="75"/>
      <c r="AO104" s="77">
        <v>4</v>
      </c>
      <c r="AP104" s="74"/>
      <c r="AQ104" s="75"/>
      <c r="AR104" s="77"/>
      <c r="AS104" s="75"/>
      <c r="AT104" s="75"/>
      <c r="AU104" s="77"/>
      <c r="AV104" s="77"/>
      <c r="AW104" s="75"/>
      <c r="AX104" s="75"/>
      <c r="AY104" s="83"/>
      <c r="AZ104" s="75">
        <f>20000/AM104</f>
        <v>10000</v>
      </c>
      <c r="BA104" s="75"/>
      <c r="BB104" s="77">
        <f>80000/AO104</f>
        <v>20000</v>
      </c>
      <c r="BC104" s="75"/>
      <c r="BD104" s="75"/>
      <c r="BE104" s="77"/>
      <c r="BF104" s="75"/>
      <c r="BG104" s="75"/>
      <c r="BH104" s="77"/>
      <c r="BI104" s="77"/>
      <c r="BJ104" s="75"/>
      <c r="BK104" s="75"/>
      <c r="BL104" s="83"/>
      <c r="BM104" s="84">
        <v>0.5</v>
      </c>
      <c r="BN104" s="84"/>
      <c r="BO104" s="84"/>
      <c r="BP104" s="85"/>
      <c r="BQ104" s="86"/>
      <c r="BR104" s="86"/>
    </row>
    <row r="105" spans="1:70">
      <c r="A105" s="70" t="s">
        <v>42</v>
      </c>
      <c r="B105" s="70" t="s">
        <v>43</v>
      </c>
      <c r="C105" s="71" t="s">
        <v>149</v>
      </c>
      <c r="D105" s="71" t="s">
        <v>44</v>
      </c>
      <c r="E105" s="72" t="s">
        <v>97</v>
      </c>
      <c r="F105" s="72"/>
      <c r="G105" s="72">
        <v>1</v>
      </c>
      <c r="H105" s="72"/>
      <c r="I105" s="72"/>
      <c r="J105" s="73"/>
      <c r="K105" s="74">
        <v>80</v>
      </c>
      <c r="L105" s="75">
        <v>80</v>
      </c>
      <c r="M105" s="76">
        <v>46</v>
      </c>
      <c r="N105" s="77">
        <v>3</v>
      </c>
      <c r="O105" s="78" t="s">
        <v>74</v>
      </c>
      <c r="P105" s="87"/>
      <c r="Q105" s="88">
        <f>2+4</f>
        <v>6</v>
      </c>
      <c r="R105" s="88"/>
      <c r="S105" s="88">
        <v>1</v>
      </c>
      <c r="T105" s="88"/>
      <c r="U105" s="88"/>
      <c r="V105" s="88"/>
      <c r="W105" s="88"/>
      <c r="X105" s="89"/>
      <c r="Y105" s="89"/>
      <c r="Z105" s="82">
        <v>2700</v>
      </c>
      <c r="AA105" s="78" t="s">
        <v>74</v>
      </c>
      <c r="AB105" s="87"/>
      <c r="AC105" s="88">
        <f>2+4</f>
        <v>6</v>
      </c>
      <c r="AD105" s="88"/>
      <c r="AE105" s="88">
        <v>1</v>
      </c>
      <c r="AF105" s="88"/>
      <c r="AG105" s="88"/>
      <c r="AH105" s="88"/>
      <c r="AI105" s="88"/>
      <c r="AJ105" s="89"/>
      <c r="AK105" s="89"/>
      <c r="AL105" s="82">
        <v>3100</v>
      </c>
      <c r="AM105" s="75">
        <v>1</v>
      </c>
      <c r="AN105" s="75"/>
      <c r="AO105" s="77"/>
      <c r="AP105" s="74"/>
      <c r="AQ105" s="75"/>
      <c r="AR105" s="77"/>
      <c r="AS105" s="75"/>
      <c r="AT105" s="75"/>
      <c r="AU105" s="77"/>
      <c r="AV105" s="77"/>
      <c r="AW105" s="75"/>
      <c r="AX105" s="75"/>
      <c r="AY105" s="83"/>
      <c r="AZ105" s="75">
        <v>10000</v>
      </c>
      <c r="BA105" s="75"/>
      <c r="BB105" s="77"/>
      <c r="BC105" s="75"/>
      <c r="BD105" s="75"/>
      <c r="BE105" s="77"/>
      <c r="BF105" s="75"/>
      <c r="BG105" s="75"/>
      <c r="BH105" s="77"/>
      <c r="BI105" s="77"/>
      <c r="BJ105" s="75"/>
      <c r="BK105" s="75"/>
      <c r="BL105" s="83"/>
      <c r="BM105" s="84">
        <v>0.7</v>
      </c>
      <c r="BN105" s="84"/>
      <c r="BO105" s="84"/>
      <c r="BP105" s="85"/>
      <c r="BQ105" s="86"/>
      <c r="BR105" s="86"/>
    </row>
    <row r="106" spans="1:70">
      <c r="A106" s="70" t="s">
        <v>52</v>
      </c>
      <c r="B106" s="70" t="s">
        <v>53</v>
      </c>
      <c r="C106" s="71" t="s">
        <v>150</v>
      </c>
      <c r="D106" s="71" t="s">
        <v>44</v>
      </c>
      <c r="E106" s="72" t="s">
        <v>97</v>
      </c>
      <c r="F106" s="72"/>
      <c r="G106" s="72"/>
      <c r="H106" s="72"/>
      <c r="I106" s="72">
        <v>1</v>
      </c>
      <c r="J106" s="73"/>
      <c r="K106" s="74">
        <v>65</v>
      </c>
      <c r="L106" s="75">
        <v>65</v>
      </c>
      <c r="M106" s="76">
        <v>180</v>
      </c>
      <c r="N106" s="77">
        <v>5</v>
      </c>
      <c r="O106" s="78"/>
      <c r="P106" s="87"/>
      <c r="Q106" s="88"/>
      <c r="R106" s="88"/>
      <c r="S106" s="88"/>
      <c r="T106" s="88"/>
      <c r="U106" s="88"/>
      <c r="V106" s="88"/>
      <c r="W106" s="88"/>
      <c r="X106" s="89"/>
      <c r="Y106" s="89"/>
      <c r="Z106" s="82"/>
      <c r="AA106" s="78" t="s">
        <v>74</v>
      </c>
      <c r="AB106" s="87"/>
      <c r="AC106" s="88">
        <v>3</v>
      </c>
      <c r="AD106" s="88"/>
      <c r="AE106" s="88">
        <v>4</v>
      </c>
      <c r="AF106" s="88"/>
      <c r="AG106" s="88"/>
      <c r="AH106" s="88"/>
      <c r="AI106" s="88"/>
      <c r="AJ106" s="89"/>
      <c r="AK106" s="89"/>
      <c r="AL106" s="82">
        <v>2178</v>
      </c>
      <c r="AM106" s="75">
        <v>1</v>
      </c>
      <c r="AN106" s="75">
        <v>1</v>
      </c>
      <c r="AO106" s="77"/>
      <c r="AP106" s="74"/>
      <c r="AQ106" s="75"/>
      <c r="AR106" s="77"/>
      <c r="AS106" s="75"/>
      <c r="AT106" s="75"/>
      <c r="AU106" s="77"/>
      <c r="AV106" s="77"/>
      <c r="AW106" s="75"/>
      <c r="AX106" s="75"/>
      <c r="AY106" s="83"/>
      <c r="AZ106" s="75">
        <v>2500</v>
      </c>
      <c r="BA106" s="75"/>
      <c r="BB106" s="77">
        <v>2500</v>
      </c>
      <c r="BC106" s="75"/>
      <c r="BD106" s="75"/>
      <c r="BE106" s="77"/>
      <c r="BF106" s="75"/>
      <c r="BG106" s="75"/>
      <c r="BH106" s="77"/>
      <c r="BI106" s="77"/>
      <c r="BJ106" s="75"/>
      <c r="BK106" s="75"/>
      <c r="BL106" s="83"/>
      <c r="BM106" s="84">
        <v>0.1</v>
      </c>
      <c r="BN106" s="84"/>
      <c r="BO106" s="84"/>
      <c r="BP106" s="85"/>
      <c r="BQ106" s="86"/>
      <c r="BR106" s="86"/>
    </row>
    <row r="107" spans="1:70">
      <c r="A107" s="70"/>
      <c r="B107" s="70"/>
      <c r="C107" s="71"/>
      <c r="D107" s="71" t="s">
        <v>44</v>
      </c>
      <c r="E107" s="72" t="s">
        <v>97</v>
      </c>
      <c r="F107" s="72"/>
      <c r="G107" s="72"/>
      <c r="H107" s="72"/>
      <c r="I107" s="72">
        <v>1</v>
      </c>
      <c r="J107" s="73"/>
      <c r="K107" s="74">
        <v>58</v>
      </c>
      <c r="L107" s="75">
        <v>58</v>
      </c>
      <c r="M107" s="76">
        <v>40</v>
      </c>
      <c r="N107" s="77">
        <v>3</v>
      </c>
      <c r="O107" s="78"/>
      <c r="P107" s="87"/>
      <c r="Q107" s="88"/>
      <c r="R107" s="88"/>
      <c r="S107" s="88"/>
      <c r="T107" s="88"/>
      <c r="U107" s="88"/>
      <c r="V107" s="88"/>
      <c r="W107" s="88"/>
      <c r="X107" s="89"/>
      <c r="Y107" s="89"/>
      <c r="Z107" s="82"/>
      <c r="AA107" s="78" t="s">
        <v>151</v>
      </c>
      <c r="AB107" s="87"/>
      <c r="AC107" s="88"/>
      <c r="AD107" s="88">
        <v>5</v>
      </c>
      <c r="AE107" s="88"/>
      <c r="AF107" s="88"/>
      <c r="AG107" s="88"/>
      <c r="AH107" s="88"/>
      <c r="AI107" s="88"/>
      <c r="AJ107" s="89"/>
      <c r="AK107" s="89"/>
      <c r="AL107" s="82">
        <v>1600</v>
      </c>
      <c r="AM107" s="75">
        <v>1</v>
      </c>
      <c r="AN107" s="75"/>
      <c r="AO107" s="77"/>
      <c r="AP107" s="74"/>
      <c r="AQ107" s="75"/>
      <c r="AR107" s="77"/>
      <c r="AS107" s="75"/>
      <c r="AT107" s="75"/>
      <c r="AU107" s="77"/>
      <c r="AV107" s="77"/>
      <c r="AW107" s="75"/>
      <c r="AX107" s="75"/>
      <c r="AY107" s="83"/>
      <c r="AZ107" s="75">
        <v>9000</v>
      </c>
      <c r="BA107" s="75"/>
      <c r="BB107" s="77"/>
      <c r="BC107" s="75"/>
      <c r="BD107" s="75"/>
      <c r="BE107" s="77"/>
      <c r="BF107" s="75"/>
      <c r="BG107" s="75"/>
      <c r="BH107" s="77"/>
      <c r="BI107" s="77"/>
      <c r="BJ107" s="75"/>
      <c r="BK107" s="75"/>
      <c r="BL107" s="83"/>
      <c r="BM107" s="84"/>
      <c r="BN107" s="84"/>
      <c r="BO107" s="84"/>
      <c r="BP107" s="85"/>
      <c r="BQ107" s="86"/>
      <c r="BR107" s="86"/>
    </row>
    <row r="108" spans="1:70">
      <c r="A108" s="70" t="s">
        <v>52</v>
      </c>
      <c r="B108" s="70" t="s">
        <v>152</v>
      </c>
      <c r="C108" s="71">
        <v>1</v>
      </c>
      <c r="D108" s="71"/>
      <c r="E108" s="72" t="s">
        <v>97</v>
      </c>
      <c r="F108" s="70" t="s">
        <v>153</v>
      </c>
      <c r="G108" s="72"/>
      <c r="H108" s="72"/>
      <c r="I108" s="72"/>
      <c r="J108" s="73"/>
      <c r="K108" s="74"/>
      <c r="L108" s="75"/>
      <c r="M108" s="76"/>
      <c r="N108" s="77"/>
      <c r="O108" s="78"/>
      <c r="P108" s="87"/>
      <c r="Q108" s="91">
        <v>38.129999999999995</v>
      </c>
      <c r="R108" s="88"/>
      <c r="S108" s="91">
        <v>2.5</v>
      </c>
      <c r="T108" s="88"/>
      <c r="U108" s="88"/>
      <c r="V108" s="88"/>
      <c r="W108" s="88"/>
      <c r="X108" s="89"/>
      <c r="Y108" s="89"/>
      <c r="Z108" s="82"/>
      <c r="AA108" s="78"/>
      <c r="AB108" s="87"/>
      <c r="AC108" s="91">
        <v>35.5</v>
      </c>
      <c r="AD108" s="88"/>
      <c r="AE108" s="91">
        <v>3</v>
      </c>
      <c r="AF108" s="88"/>
      <c r="AG108" s="88"/>
      <c r="AH108" s="88"/>
      <c r="AI108" s="88"/>
      <c r="AJ108" s="89"/>
      <c r="AK108" s="89"/>
      <c r="AL108" s="82"/>
      <c r="AM108" s="75"/>
      <c r="AN108" s="75"/>
      <c r="AO108" s="77"/>
      <c r="AP108" s="74"/>
      <c r="AQ108" s="75"/>
      <c r="AR108" s="77"/>
      <c r="AS108" s="75"/>
      <c r="AT108" s="75"/>
      <c r="AU108" s="77"/>
      <c r="AV108" s="77"/>
      <c r="AW108" s="75"/>
      <c r="AX108" s="75"/>
      <c r="AY108" s="83"/>
      <c r="AZ108" s="75"/>
      <c r="BA108" s="75"/>
      <c r="BB108" s="77"/>
      <c r="BC108" s="75"/>
      <c r="BD108" s="75"/>
      <c r="BE108" s="77"/>
      <c r="BF108" s="75"/>
      <c r="BG108" s="75"/>
      <c r="BH108" s="77"/>
      <c r="BI108" s="77"/>
      <c r="BJ108" s="75"/>
      <c r="BK108" s="75"/>
      <c r="BL108" s="83"/>
      <c r="BM108" s="84"/>
      <c r="BN108" s="84"/>
      <c r="BO108" s="84"/>
      <c r="BP108" s="85"/>
      <c r="BQ108" s="86"/>
      <c r="BR108" s="86"/>
    </row>
    <row r="109" spans="1:70">
      <c r="A109" s="70" t="s">
        <v>154</v>
      </c>
      <c r="B109" s="70" t="s">
        <v>86</v>
      </c>
      <c r="C109" s="71">
        <v>19</v>
      </c>
      <c r="D109" s="71"/>
      <c r="E109" s="72" t="s">
        <v>97</v>
      </c>
      <c r="F109" s="70" t="s">
        <v>153</v>
      </c>
      <c r="G109" s="72"/>
      <c r="H109" s="72"/>
      <c r="I109" s="72"/>
      <c r="J109" s="73"/>
      <c r="K109" s="74"/>
      <c r="L109" s="75"/>
      <c r="M109" s="76"/>
      <c r="N109" s="77"/>
      <c r="O109" s="78"/>
      <c r="P109" s="87"/>
      <c r="Q109" s="91">
        <v>26.5</v>
      </c>
      <c r="R109" s="88"/>
      <c r="S109" s="88"/>
      <c r="T109" s="88"/>
      <c r="U109" s="88"/>
      <c r="V109" s="88"/>
      <c r="W109" s="88"/>
      <c r="X109" s="89"/>
      <c r="Y109" s="89"/>
      <c r="Z109" s="82"/>
      <c r="AA109" s="78"/>
      <c r="AB109" s="87"/>
      <c r="AC109" s="91">
        <v>21.25</v>
      </c>
      <c r="AD109" s="88"/>
      <c r="AE109" s="91">
        <v>3.5</v>
      </c>
      <c r="AF109" s="88"/>
      <c r="AG109" s="88"/>
      <c r="AH109" s="88"/>
      <c r="AI109" s="88"/>
      <c r="AJ109" s="89"/>
      <c r="AK109" s="89"/>
      <c r="AL109" s="82"/>
      <c r="AM109" s="75"/>
      <c r="AN109" s="75"/>
      <c r="AO109" s="77"/>
      <c r="AP109" s="74"/>
      <c r="AQ109" s="75"/>
      <c r="AR109" s="77"/>
      <c r="AS109" s="75"/>
      <c r="AT109" s="75"/>
      <c r="AU109" s="77"/>
      <c r="AV109" s="77"/>
      <c r="AW109" s="75"/>
      <c r="AX109" s="75"/>
      <c r="AY109" s="83"/>
      <c r="AZ109" s="75"/>
      <c r="BA109" s="75"/>
      <c r="BB109" s="77"/>
      <c r="BC109" s="75"/>
      <c r="BD109" s="75"/>
      <c r="BE109" s="77"/>
      <c r="BF109" s="75"/>
      <c r="BG109" s="75"/>
      <c r="BH109" s="77"/>
      <c r="BI109" s="77"/>
      <c r="BJ109" s="75"/>
      <c r="BK109" s="75"/>
      <c r="BL109" s="83"/>
      <c r="BM109" s="84"/>
      <c r="BN109" s="84"/>
      <c r="BO109" s="84"/>
      <c r="BP109" s="85"/>
      <c r="BQ109" s="86"/>
      <c r="BR109" s="86"/>
    </row>
    <row r="110" spans="1:70">
      <c r="A110" s="70" t="s">
        <v>42</v>
      </c>
      <c r="B110" s="70" t="s">
        <v>53</v>
      </c>
      <c r="C110" s="71">
        <v>2</v>
      </c>
      <c r="D110" s="71"/>
      <c r="E110" s="72" t="s">
        <v>97</v>
      </c>
      <c r="F110" s="70" t="s">
        <v>153</v>
      </c>
      <c r="G110" s="72"/>
      <c r="H110" s="72"/>
      <c r="I110" s="72"/>
      <c r="J110" s="73"/>
      <c r="K110" s="74"/>
      <c r="L110" s="75"/>
      <c r="M110" s="76"/>
      <c r="N110" s="77"/>
      <c r="O110" s="78"/>
      <c r="P110" s="87"/>
      <c r="Q110" s="91">
        <v>15.75</v>
      </c>
      <c r="R110" s="88"/>
      <c r="S110" s="88"/>
      <c r="T110" s="88"/>
      <c r="U110" s="88"/>
      <c r="V110" s="88"/>
      <c r="W110" s="88"/>
      <c r="X110" s="89"/>
      <c r="Y110" s="89"/>
      <c r="Z110" s="82"/>
      <c r="AA110" s="78"/>
      <c r="AB110" s="87"/>
      <c r="AC110" s="91">
        <f>Q110</f>
        <v>15.75</v>
      </c>
      <c r="AD110" s="88"/>
      <c r="AE110" s="88"/>
      <c r="AF110" s="88"/>
      <c r="AG110" s="88"/>
      <c r="AH110" s="88"/>
      <c r="AI110" s="88"/>
      <c r="AJ110" s="89"/>
      <c r="AK110" s="89"/>
      <c r="AL110" s="82"/>
      <c r="AM110" s="75"/>
      <c r="AN110" s="75"/>
      <c r="AO110" s="77"/>
      <c r="AP110" s="74"/>
      <c r="AQ110" s="75"/>
      <c r="AR110" s="77"/>
      <c r="AS110" s="75"/>
      <c r="AT110" s="75"/>
      <c r="AU110" s="77"/>
      <c r="AV110" s="77"/>
      <c r="AW110" s="75"/>
      <c r="AX110" s="75"/>
      <c r="AY110" s="83"/>
      <c r="AZ110" s="75"/>
      <c r="BA110" s="75"/>
      <c r="BB110" s="77"/>
      <c r="BC110" s="75"/>
      <c r="BD110" s="75"/>
      <c r="BE110" s="77"/>
      <c r="BF110" s="75"/>
      <c r="BG110" s="75"/>
      <c r="BH110" s="77"/>
      <c r="BI110" s="77"/>
      <c r="BJ110" s="75"/>
      <c r="BK110" s="75"/>
      <c r="BL110" s="83"/>
      <c r="BM110" s="84"/>
      <c r="BN110" s="84"/>
      <c r="BO110" s="84"/>
      <c r="BP110" s="85"/>
      <c r="BQ110" s="86"/>
      <c r="BR110" s="86"/>
    </row>
    <row r="111" spans="1:70">
      <c r="A111" s="70" t="s">
        <v>52</v>
      </c>
      <c r="B111" s="70" t="s">
        <v>53</v>
      </c>
      <c r="C111" s="71">
        <v>18</v>
      </c>
      <c r="D111" s="71"/>
      <c r="E111" s="72" t="s">
        <v>45</v>
      </c>
      <c r="F111" s="70" t="s">
        <v>155</v>
      </c>
      <c r="G111" s="72"/>
      <c r="H111" s="72"/>
      <c r="I111" s="72"/>
      <c r="J111" s="73"/>
      <c r="K111" s="74"/>
      <c r="L111" s="75"/>
      <c r="M111" s="76"/>
      <c r="N111" s="77"/>
      <c r="O111" s="78"/>
      <c r="P111" s="79"/>
      <c r="Q111" s="92">
        <v>16.940000000000001</v>
      </c>
      <c r="R111" s="80"/>
      <c r="S111" s="92">
        <v>3.3</v>
      </c>
      <c r="T111" s="80"/>
      <c r="U111" s="80"/>
      <c r="V111" s="80"/>
      <c r="W111" s="80"/>
      <c r="X111" s="81"/>
      <c r="Y111" s="81"/>
      <c r="Z111" s="82"/>
      <c r="AA111" s="78"/>
      <c r="AB111" s="79"/>
      <c r="AC111" s="92">
        <v>10</v>
      </c>
      <c r="AD111" s="80"/>
      <c r="AE111" s="92">
        <v>2.5</v>
      </c>
      <c r="AF111" s="80"/>
      <c r="AG111" s="80"/>
      <c r="AH111" s="80"/>
      <c r="AI111" s="80"/>
      <c r="AJ111" s="81"/>
      <c r="AK111" s="81"/>
      <c r="AL111" s="82"/>
      <c r="AM111" s="75"/>
      <c r="AN111" s="75"/>
      <c r="AO111" s="77"/>
      <c r="AP111" s="74"/>
      <c r="AQ111" s="75"/>
      <c r="AR111" s="77"/>
      <c r="AS111" s="75"/>
      <c r="AT111" s="75"/>
      <c r="AU111" s="77"/>
      <c r="AV111" s="77"/>
      <c r="AW111" s="75"/>
      <c r="AX111" s="75"/>
      <c r="AY111" s="83"/>
      <c r="AZ111" s="75"/>
      <c r="BA111" s="75"/>
      <c r="BB111" s="77"/>
      <c r="BC111" s="75"/>
      <c r="BD111" s="75"/>
      <c r="BE111" s="77"/>
      <c r="BF111" s="75"/>
      <c r="BG111" s="75"/>
      <c r="BH111" s="77"/>
      <c r="BI111" s="77"/>
      <c r="BJ111" s="75"/>
      <c r="BK111" s="75"/>
      <c r="BL111" s="83"/>
      <c r="BM111" s="84"/>
      <c r="BN111" s="84"/>
      <c r="BO111" s="84"/>
      <c r="BP111" s="85"/>
      <c r="BQ111" s="86"/>
      <c r="BR111" s="86" t="str">
        <f t="shared" ref="BR111:BR112" si="2">E111</f>
        <v>usługowe</v>
      </c>
    </row>
    <row r="112" spans="1:70">
      <c r="A112" s="70" t="s">
        <v>42</v>
      </c>
      <c r="B112" s="70" t="s">
        <v>56</v>
      </c>
      <c r="C112" s="71">
        <v>17</v>
      </c>
      <c r="D112" s="71"/>
      <c r="E112" s="72" t="s">
        <v>45</v>
      </c>
      <c r="F112" s="70" t="s">
        <v>156</v>
      </c>
      <c r="G112" s="72"/>
      <c r="H112" s="72"/>
      <c r="I112" s="72"/>
      <c r="J112" s="73"/>
      <c r="K112" s="74"/>
      <c r="L112" s="75"/>
      <c r="M112" s="76"/>
      <c r="N112" s="77"/>
      <c r="O112" s="78"/>
      <c r="P112" s="79"/>
      <c r="Q112" s="92">
        <v>20.18</v>
      </c>
      <c r="R112" s="80"/>
      <c r="S112" s="80"/>
      <c r="T112" s="80"/>
      <c r="U112" s="80"/>
      <c r="V112" s="80"/>
      <c r="W112" s="80"/>
      <c r="X112" s="81"/>
      <c r="Y112" s="81"/>
      <c r="Z112" s="82"/>
      <c r="AA112" s="78"/>
      <c r="AB112" s="79"/>
      <c r="AC112" s="92">
        <v>23</v>
      </c>
      <c r="AD112" s="80"/>
      <c r="AE112" s="80"/>
      <c r="AF112" s="80"/>
      <c r="AG112" s="80"/>
      <c r="AH112" s="80"/>
      <c r="AI112" s="80"/>
      <c r="AJ112" s="81"/>
      <c r="AK112" s="81"/>
      <c r="AL112" s="82"/>
      <c r="AM112" s="75"/>
      <c r="AN112" s="75"/>
      <c r="AO112" s="77"/>
      <c r="AP112" s="74"/>
      <c r="AQ112" s="75"/>
      <c r="AR112" s="77"/>
      <c r="AS112" s="75"/>
      <c r="AT112" s="75"/>
      <c r="AU112" s="77"/>
      <c r="AV112" s="77"/>
      <c r="AW112" s="75"/>
      <c r="AX112" s="75"/>
      <c r="AY112" s="83"/>
      <c r="AZ112" s="75"/>
      <c r="BA112" s="75"/>
      <c r="BB112" s="77"/>
      <c r="BC112" s="75"/>
      <c r="BD112" s="75"/>
      <c r="BE112" s="77"/>
      <c r="BF112" s="75"/>
      <c r="BG112" s="75"/>
      <c r="BH112" s="77"/>
      <c r="BI112" s="77"/>
      <c r="BJ112" s="75"/>
      <c r="BK112" s="75"/>
      <c r="BL112" s="83"/>
      <c r="BM112" s="84"/>
      <c r="BN112" s="84"/>
      <c r="BO112" s="84"/>
      <c r="BP112" s="85"/>
      <c r="BQ112" s="86"/>
      <c r="BR112" s="86" t="str">
        <f t="shared" si="2"/>
        <v>usługowe</v>
      </c>
    </row>
    <row r="115" spans="14:66">
      <c r="N115" s="93"/>
      <c r="O115" s="94"/>
      <c r="P115" s="94"/>
      <c r="Q115" s="94"/>
      <c r="R115" s="95"/>
      <c r="S115" s="95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6"/>
    </row>
    <row r="116" spans="14:66">
      <c r="N116" s="93"/>
      <c r="O116" s="93"/>
      <c r="P116" s="93"/>
      <c r="Q116" s="97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</row>
    <row r="117" spans="14:66">
      <c r="N117" s="93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Z117" s="3"/>
      <c r="BA117" s="3"/>
      <c r="BB117" s="3"/>
      <c r="BE117" s="3"/>
      <c r="BH117" s="3"/>
      <c r="BM117" s="99"/>
      <c r="BN117" s="99"/>
    </row>
    <row r="118" spans="14:66"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</row>
  </sheetData>
  <mergeCells count="5">
    <mergeCell ref="O2:Z2"/>
    <mergeCell ref="AA2:AL2"/>
    <mergeCell ref="BM2:BP3"/>
    <mergeCell ref="O3:Y3"/>
    <mergeCell ref="AA3:A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9"/>
  <sheetViews>
    <sheetView workbookViewId="0">
      <selection sqref="A1:XFD1048576"/>
    </sheetView>
  </sheetViews>
  <sheetFormatPr defaultRowHeight="15"/>
  <cols>
    <col min="1" max="1" width="5.42578125" customWidth="1"/>
    <col min="2" max="2" width="5.85546875" customWidth="1"/>
    <col min="3" max="3" width="6" customWidth="1"/>
    <col min="4" max="21" width="8.85546875" customWidth="1"/>
    <col min="22" max="22" width="5.42578125" customWidth="1"/>
    <col min="23" max="23" width="14.85546875" customWidth="1"/>
    <col min="24" max="24" width="9.42578125" customWidth="1"/>
    <col min="25" max="25" width="6.140625" customWidth="1"/>
    <col min="26" max="26" width="17.28515625" customWidth="1"/>
    <col min="27" max="27" width="14.85546875" customWidth="1"/>
  </cols>
  <sheetData>
    <row r="1" spans="1:29" ht="15.75">
      <c r="A1" s="100" t="s">
        <v>157</v>
      </c>
      <c r="B1" s="100"/>
      <c r="C1" s="100"/>
      <c r="D1" s="100"/>
    </row>
    <row r="2" spans="1:29" ht="15" customHeight="1">
      <c r="B2" s="101"/>
      <c r="C2" s="10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V2" s="4"/>
      <c r="W2" s="4"/>
      <c r="X2" s="4"/>
      <c r="Y2" s="4"/>
      <c r="Z2" s="4"/>
      <c r="AA2" s="4"/>
      <c r="AB2" s="4"/>
      <c r="AC2" s="4"/>
    </row>
    <row r="3" spans="1:29" ht="15.75" thickBot="1">
      <c r="A3" s="4"/>
      <c r="B3" s="4"/>
      <c r="C3" s="102" t="s">
        <v>158</v>
      </c>
      <c r="D3" s="102"/>
      <c r="E3" s="102"/>
      <c r="F3" s="102"/>
      <c r="G3" s="102"/>
      <c r="H3" s="102"/>
      <c r="I3" s="102"/>
      <c r="J3" s="102"/>
      <c r="K3" s="102"/>
      <c r="L3" s="103" t="s">
        <v>159</v>
      </c>
      <c r="M3" s="104"/>
      <c r="N3" s="104"/>
      <c r="O3" s="104"/>
      <c r="P3" s="105" t="s">
        <v>160</v>
      </c>
      <c r="Q3" s="106"/>
      <c r="R3" s="106"/>
      <c r="S3" s="107"/>
      <c r="V3" s="108"/>
      <c r="W3" s="108"/>
      <c r="X3" s="4"/>
      <c r="Y3" s="4"/>
      <c r="Z3" s="4"/>
      <c r="AA3" s="4"/>
      <c r="AB3" s="4"/>
      <c r="AC3" s="4"/>
    </row>
    <row r="4" spans="1:29" ht="15" customHeight="1">
      <c r="A4" s="109" t="s">
        <v>161</v>
      </c>
      <c r="B4" s="110" t="s">
        <v>162</v>
      </c>
      <c r="C4" s="111" t="s">
        <v>163</v>
      </c>
      <c r="D4" s="112" t="s">
        <v>164</v>
      </c>
      <c r="E4" s="113" t="s">
        <v>165</v>
      </c>
      <c r="F4" s="113" t="s">
        <v>166</v>
      </c>
      <c r="G4" s="113" t="s">
        <v>167</v>
      </c>
      <c r="H4" s="113" t="s">
        <v>168</v>
      </c>
      <c r="I4" s="113" t="s">
        <v>169</v>
      </c>
      <c r="J4" s="114" t="s">
        <v>170</v>
      </c>
      <c r="L4" s="115" t="s">
        <v>161</v>
      </c>
      <c r="M4" s="116" t="s">
        <v>171</v>
      </c>
      <c r="N4" s="117" t="s">
        <v>172</v>
      </c>
      <c r="O4" s="118" t="s">
        <v>173</v>
      </c>
      <c r="P4" s="115" t="s">
        <v>161</v>
      </c>
      <c r="Q4" s="116" t="s">
        <v>174</v>
      </c>
      <c r="R4" s="119" t="s">
        <v>175</v>
      </c>
      <c r="S4" s="120"/>
      <c r="W4" s="4"/>
      <c r="X4" s="4"/>
      <c r="Y4" s="4"/>
      <c r="Z4" s="4"/>
      <c r="AA4" s="4"/>
      <c r="AB4" s="4"/>
    </row>
    <row r="5" spans="1:29" ht="15.75" thickBot="1">
      <c r="A5" s="121"/>
      <c r="B5" s="122"/>
      <c r="C5" s="123"/>
      <c r="D5" s="124"/>
      <c r="E5" s="125"/>
      <c r="F5" s="125"/>
      <c r="G5" s="125"/>
      <c r="H5" s="125"/>
      <c r="I5" s="125"/>
      <c r="J5" s="126"/>
      <c r="L5" s="127"/>
      <c r="M5" s="128"/>
      <c r="N5" s="129"/>
      <c r="O5" s="130"/>
      <c r="P5" s="127"/>
      <c r="Q5" s="128"/>
      <c r="R5" s="131"/>
      <c r="S5" s="120"/>
      <c r="W5" s="4"/>
      <c r="X5" s="4"/>
      <c r="Y5" s="4"/>
      <c r="Z5" s="4"/>
      <c r="AA5" s="4"/>
      <c r="AB5" s="4"/>
    </row>
    <row r="6" spans="1:29">
      <c r="A6" s="132">
        <v>2009</v>
      </c>
      <c r="B6" s="133" t="s">
        <v>97</v>
      </c>
      <c r="C6" s="134">
        <f>Q6</f>
        <v>2231</v>
      </c>
      <c r="D6" s="135">
        <v>0.95</v>
      </c>
      <c r="E6" s="136">
        <v>0.1</v>
      </c>
      <c r="F6" s="136">
        <f>D6</f>
        <v>0.95</v>
      </c>
      <c r="G6" s="136">
        <v>0.01</v>
      </c>
      <c r="H6" s="136">
        <v>0.08</v>
      </c>
      <c r="I6" s="136">
        <v>1.344688E-2</v>
      </c>
      <c r="J6" s="137">
        <v>0.01</v>
      </c>
      <c r="K6" s="138"/>
      <c r="L6" s="139">
        <v>2009</v>
      </c>
      <c r="M6" s="140">
        <v>30</v>
      </c>
      <c r="N6" s="140">
        <v>12600</v>
      </c>
      <c r="O6" s="141">
        <v>7600</v>
      </c>
      <c r="P6" s="139">
        <v>2009</v>
      </c>
      <c r="Q6" s="142">
        <f>2228+3</f>
        <v>2231</v>
      </c>
      <c r="R6" s="143">
        <f>5850.971897+49.07</f>
        <v>5900.0418970000001</v>
      </c>
      <c r="S6" s="144"/>
      <c r="W6" s="4"/>
      <c r="X6" s="4"/>
      <c r="Y6" s="4"/>
      <c r="Z6" s="4"/>
      <c r="AA6" s="4"/>
      <c r="AB6" s="4"/>
    </row>
    <row r="7" spans="1:29" ht="15.75" thickBot="1">
      <c r="A7" s="145">
        <v>2014</v>
      </c>
      <c r="B7" s="146" t="s">
        <v>97</v>
      </c>
      <c r="C7" s="147">
        <f>Q7</f>
        <v>2109</v>
      </c>
      <c r="D7" s="148">
        <v>0.9</v>
      </c>
      <c r="E7" s="149">
        <v>0.25</v>
      </c>
      <c r="F7" s="149">
        <f>D7</f>
        <v>0.9</v>
      </c>
      <c r="G7" s="149">
        <v>0.05</v>
      </c>
      <c r="H7" s="149">
        <v>0.06</v>
      </c>
      <c r="I7" s="149">
        <v>2.228544E-2</v>
      </c>
      <c r="J7" s="150">
        <v>0.01</v>
      </c>
      <c r="K7" s="138"/>
      <c r="L7" s="151">
        <v>2014</v>
      </c>
      <c r="M7" s="152">
        <v>47</v>
      </c>
      <c r="N7" s="152">
        <v>28400</v>
      </c>
      <c r="O7" s="153">
        <v>25200</v>
      </c>
      <c r="P7" s="151">
        <v>2014</v>
      </c>
      <c r="Q7" s="154">
        <f>2107+2</f>
        <v>2109</v>
      </c>
      <c r="R7" s="155">
        <f>5524.765+48.08</f>
        <v>5572.8450000000003</v>
      </c>
      <c r="S7" s="144"/>
      <c r="W7" s="4"/>
      <c r="X7" s="4"/>
      <c r="Y7" s="4"/>
      <c r="Z7" s="4"/>
      <c r="AA7" s="4"/>
      <c r="AB7" s="4"/>
    </row>
    <row r="8" spans="1:29">
      <c r="A8" s="156"/>
      <c r="B8" s="157"/>
      <c r="C8" s="158"/>
      <c r="E8" s="159"/>
      <c r="F8" s="159"/>
      <c r="G8" s="159"/>
      <c r="H8" s="159"/>
      <c r="I8" s="159"/>
      <c r="J8" s="159"/>
      <c r="K8" s="15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5.75" thickBot="1">
      <c r="A9" s="4"/>
      <c r="B9" s="4"/>
      <c r="C9" s="4"/>
      <c r="D9" s="102" t="s">
        <v>176</v>
      </c>
      <c r="E9" s="102"/>
      <c r="F9" s="102"/>
      <c r="G9" s="102"/>
      <c r="H9" s="102"/>
      <c r="I9" s="102"/>
      <c r="J9" s="102"/>
      <c r="K9" s="102"/>
      <c r="L9" s="102"/>
      <c r="M9" s="10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5" customHeight="1">
      <c r="A10" s="109" t="s">
        <v>161</v>
      </c>
      <c r="B10" s="110" t="s">
        <v>162</v>
      </c>
      <c r="C10" s="111" t="s">
        <v>163</v>
      </c>
      <c r="D10" s="160" t="s">
        <v>177</v>
      </c>
      <c r="E10" s="161" t="s">
        <v>26</v>
      </c>
      <c r="F10" s="162" t="s">
        <v>27</v>
      </c>
      <c r="G10" s="162" t="s">
        <v>28</v>
      </c>
      <c r="H10" s="162" t="s">
        <v>29</v>
      </c>
      <c r="I10" s="162" t="s">
        <v>30</v>
      </c>
      <c r="J10" s="162" t="s">
        <v>178</v>
      </c>
      <c r="K10" s="162" t="s">
        <v>32</v>
      </c>
      <c r="L10" s="162" t="s">
        <v>33</v>
      </c>
      <c r="M10" s="163" t="s">
        <v>34</v>
      </c>
      <c r="N10" s="164"/>
      <c r="Z10" s="165"/>
      <c r="AA10" s="4"/>
      <c r="AB10" s="4"/>
      <c r="AC10" s="4"/>
    </row>
    <row r="11" spans="1:29" ht="15.75" thickBot="1">
      <c r="A11" s="121"/>
      <c r="B11" s="122"/>
      <c r="C11" s="123"/>
      <c r="D11" s="166"/>
      <c r="E11" s="167"/>
      <c r="F11" s="168"/>
      <c r="G11" s="168"/>
      <c r="H11" s="168"/>
      <c r="I11" s="169"/>
      <c r="J11" s="168"/>
      <c r="K11" s="168"/>
      <c r="L11" s="168"/>
      <c r="M11" s="170"/>
      <c r="N11" s="4"/>
      <c r="Z11" s="4"/>
      <c r="AA11" s="4"/>
      <c r="AB11" s="4"/>
    </row>
    <row r="12" spans="1:29">
      <c r="A12" s="171">
        <v>2009</v>
      </c>
      <c r="B12" s="172" t="s">
        <v>97</v>
      </c>
      <c r="C12" s="173">
        <f>C6</f>
        <v>2231</v>
      </c>
      <c r="D12" s="174">
        <f>(R6/Q6)*1000</f>
        <v>2644.5727911250565</v>
      </c>
      <c r="E12" s="175">
        <f>AVERAGEIF([1]Ankietyzacja_dane!$E:$E,$B12,[1]Ankietyzacja_dane!Q:Q)</f>
        <v>8.1542307692307681</v>
      </c>
      <c r="F12" s="176">
        <f>AVERAGEIF([1]Ankietyzacja_dane!$E:$E,$B12,[1]Ankietyzacja_dane!R:R)</f>
        <v>5.6818181818181817</v>
      </c>
      <c r="G12" s="176">
        <f>AVERAGEIF([1]Ankietyzacja_dane!$E:$E,$B12,[1]Ankietyzacja_dane!S:S)</f>
        <v>4.1684210526315795</v>
      </c>
      <c r="H12" s="176">
        <f>AVERAGEIF([1]Ankietyzacja_dane!$E:$E,$B12,[1]Ankietyzacja_dane!T:T)</f>
        <v>4.5</v>
      </c>
      <c r="I12" s="177">
        <v>1.24</v>
      </c>
      <c r="J12" s="176">
        <f>N6/M6</f>
        <v>420</v>
      </c>
      <c r="K12" s="176">
        <f>AVERAGEIF([1]Ankietyzacja_dane!$E:$E,$B12,[1]Ankietyzacja_dane!W:W)</f>
        <v>104.16</v>
      </c>
      <c r="L12" s="176">
        <f>AVERAGEIF([1]Ankietyzacja_dane!$E:$E,$B12,[1]Ankietyzacja_dane!X:X)</f>
        <v>71.5</v>
      </c>
      <c r="M12" s="178">
        <v>1.71</v>
      </c>
      <c r="N12" s="179"/>
    </row>
    <row r="13" spans="1:29" ht="15.75" thickBot="1">
      <c r="A13" s="180">
        <v>2014</v>
      </c>
      <c r="B13" s="181" t="s">
        <v>97</v>
      </c>
      <c r="C13" s="182">
        <f>C7</f>
        <v>2109</v>
      </c>
      <c r="D13" s="183">
        <f>(R7/Q7)*1000</f>
        <v>2642.4110953058321</v>
      </c>
      <c r="E13" s="184">
        <f>AVERAGEIF([1]Ankietyzacja_dane!$E:$E,$B13,[1]Ankietyzacja_dane!AC:AC)</f>
        <v>7.475090909090909</v>
      </c>
      <c r="F13" s="185">
        <f>AVERAGEIF([1]Ankietyzacja_dane!$E:$E,$B13,[1]Ankietyzacja_dane!AD:AD)</f>
        <v>5.0649999999999995</v>
      </c>
      <c r="G13" s="185">
        <f>AVERAGEIF([1]Ankietyzacja_dane!$E:$E,$B13,[1]Ankietyzacja_dane!AE:AE)</f>
        <v>3.8208333333333333</v>
      </c>
      <c r="H13" s="185">
        <f>AVERAGEIF([1]Ankietyzacja_dane!$E:$E,$B13,[1]Ankietyzacja_dane!AF:AF)</f>
        <v>4</v>
      </c>
      <c r="I13" s="185">
        <f>AVERAGEIF([1]Ankietyzacja_dane!$E:$E,$B13,[1]Ankietyzacja_dane!AG:AG)</f>
        <v>2.5</v>
      </c>
      <c r="J13" s="185">
        <f>N7/M7</f>
        <v>604.25531914893622</v>
      </c>
      <c r="K13" s="185">
        <f>AVERAGEIF([1]Ankietyzacja_dane!$E:$E,$B13,[1]Ankietyzacja_dane!AI:AI)</f>
        <v>144</v>
      </c>
      <c r="L13" s="185">
        <f>AVERAGEIF([1]Ankietyzacja_dane!$E:$E,$B13,[1]Ankietyzacja_dane!AJ:AJ)</f>
        <v>66</v>
      </c>
      <c r="M13" s="186">
        <v>1.7230000000000001</v>
      </c>
      <c r="N13" s="4"/>
      <c r="O13" s="4"/>
      <c r="P13" s="4"/>
      <c r="Q13" s="4"/>
      <c r="R13" s="4"/>
      <c r="S13" s="4"/>
      <c r="T13" s="4"/>
      <c r="U13" s="4"/>
    </row>
    <row r="14" spans="1:29">
      <c r="A14" s="156"/>
      <c r="B14" s="187"/>
      <c r="C14" s="187"/>
      <c r="D14" s="4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9" ht="15.75" thickBot="1">
      <c r="A15" s="4"/>
      <c r="B15" s="4"/>
      <c r="C15" s="4"/>
      <c r="D15" s="102" t="s">
        <v>179</v>
      </c>
      <c r="E15" s="102"/>
      <c r="F15" s="102"/>
      <c r="G15" s="102"/>
      <c r="H15" s="102"/>
      <c r="I15" s="102"/>
      <c r="J15" s="102"/>
      <c r="O15" s="4"/>
      <c r="Y15" s="4"/>
    </row>
    <row r="16" spans="1:29" ht="15" customHeight="1">
      <c r="A16" s="109" t="s">
        <v>161</v>
      </c>
      <c r="B16" s="110" t="s">
        <v>162</v>
      </c>
      <c r="C16" s="111" t="s">
        <v>163</v>
      </c>
      <c r="D16" s="188" t="s">
        <v>180</v>
      </c>
      <c r="E16" s="161" t="s">
        <v>181</v>
      </c>
      <c r="F16" s="162" t="s">
        <v>182</v>
      </c>
      <c r="G16" s="162" t="s">
        <v>183</v>
      </c>
      <c r="H16" s="162" t="s">
        <v>167</v>
      </c>
      <c r="I16" s="162" t="s">
        <v>184</v>
      </c>
      <c r="J16" s="162" t="s">
        <v>185</v>
      </c>
      <c r="K16" s="163" t="s">
        <v>186</v>
      </c>
      <c r="L16" s="189" t="s">
        <v>187</v>
      </c>
      <c r="N16" s="190" t="s">
        <v>188</v>
      </c>
      <c r="O16" s="191"/>
      <c r="P16" s="191"/>
      <c r="Q16" s="191"/>
      <c r="R16" s="191"/>
      <c r="S16" s="191"/>
      <c r="T16" s="192"/>
      <c r="Y16" s="4"/>
      <c r="AC16" s="4"/>
    </row>
    <row r="17" spans="1:29" ht="34.5" thickBot="1">
      <c r="A17" s="121"/>
      <c r="B17" s="122"/>
      <c r="C17" s="123"/>
      <c r="D17" s="193"/>
      <c r="E17" s="167"/>
      <c r="F17" s="168"/>
      <c r="G17" s="168"/>
      <c r="H17" s="168"/>
      <c r="I17" s="168"/>
      <c r="J17" s="168"/>
      <c r="K17" s="170"/>
      <c r="L17" s="194"/>
      <c r="N17" s="195" t="s">
        <v>189</v>
      </c>
      <c r="O17" s="196" t="s">
        <v>190</v>
      </c>
      <c r="P17" s="196" t="s">
        <v>191</v>
      </c>
      <c r="Q17" s="196" t="s">
        <v>192</v>
      </c>
      <c r="R17" s="196" t="s">
        <v>193</v>
      </c>
      <c r="S17" s="197" t="s">
        <v>194</v>
      </c>
      <c r="T17" s="198" t="s">
        <v>195</v>
      </c>
      <c r="Y17" s="4"/>
      <c r="Z17" s="199"/>
    </row>
    <row r="18" spans="1:29" ht="15.75" thickBot="1">
      <c r="A18" s="132">
        <v>2009</v>
      </c>
      <c r="B18" s="133" t="s">
        <v>97</v>
      </c>
      <c r="C18" s="173">
        <f>C6</f>
        <v>2231</v>
      </c>
      <c r="D18" s="200">
        <f>MIN(D12/1000*C18,R6)</f>
        <v>5900.0418970000001</v>
      </c>
      <c r="E18" s="175">
        <f>IFERROR(D6*E12*1000*$N$18*$X$19*C18,"-")</f>
        <v>104463.02519806697</v>
      </c>
      <c r="F18" s="176">
        <f>IFERROR(E6*F12*1000*$O$18*$X$19*C18,"-")</f>
        <v>9084.5651207045485</v>
      </c>
      <c r="G18" s="176">
        <f>IFERROR(F6*G12*$X$18*$P$18*$X$19*C18,"-")+IFERROR(F6*H12*1000*C18*$P$18*$X$19,"-")</f>
        <v>65065.335405226404</v>
      </c>
      <c r="H18" s="201">
        <f>IFERROR(G6*I12*1000*C18*$Q$18*$X$19,"-")</f>
        <v>138.32201106575999</v>
      </c>
      <c r="I18" s="176">
        <f>IFERROR(I6*J12*$S$18*$X$19*C18,"-")</f>
        <v>108.49996990933022</v>
      </c>
      <c r="J18" s="176">
        <f>IFERROR(H6*K12*C18*$R$18*$X$19,"-")+IFERROR(H6*L12*$X$22*C18*$R$18*$X$19,"-")</f>
        <v>326.02795474890092</v>
      </c>
      <c r="K18" s="202">
        <f>IFERROR(J6*M12*C18*$T$18*$X$19*$X$20,"-")</f>
        <v>368.19088345526831</v>
      </c>
      <c r="L18" s="203">
        <f>SUM(D18:K18)</f>
        <v>185454.00844017716</v>
      </c>
      <c r="N18" s="204">
        <v>21.76</v>
      </c>
      <c r="O18" s="205">
        <v>25.8</v>
      </c>
      <c r="P18" s="205">
        <v>15.6</v>
      </c>
      <c r="Q18" s="205">
        <v>18</v>
      </c>
      <c r="R18" s="206">
        <v>47.31</v>
      </c>
      <c r="S18" s="207">
        <v>31</v>
      </c>
      <c r="T18" s="208">
        <v>40.4</v>
      </c>
      <c r="W18" s="209" t="s">
        <v>196</v>
      </c>
      <c r="X18" s="210">
        <v>620</v>
      </c>
      <c r="Y18" s="211" t="s">
        <v>197</v>
      </c>
      <c r="Z18" s="4"/>
      <c r="AA18" s="4"/>
      <c r="AB18" s="4"/>
    </row>
    <row r="19" spans="1:29" ht="15.75" thickBot="1">
      <c r="A19" s="145">
        <v>2014</v>
      </c>
      <c r="B19" s="146" t="s">
        <v>97</v>
      </c>
      <c r="C19" s="182">
        <f>C7</f>
        <v>2109</v>
      </c>
      <c r="D19" s="212">
        <f>MIN(D13/1000*C19,R7)</f>
        <v>5572.8450000000003</v>
      </c>
      <c r="E19" s="184">
        <f>IFERROR(D7*E13*1000*$N$18*$X$19*C19,"-")</f>
        <v>85761.425857277165</v>
      </c>
      <c r="F19" s="185">
        <f>IFERROR(E7*F13*1000*$O$18*$X$19*C19,"-")</f>
        <v>19138.737156098847</v>
      </c>
      <c r="G19" s="185">
        <f>IFERROR(F7*G13*$X$18*$P$18*$X$19*C19,"-")+IFERROR(F7*H13*1000*C19*$P$18*$X$19,"-")</f>
        <v>52384.980665798117</v>
      </c>
      <c r="H19" s="213">
        <f>IFERROR(G7*I13*1000*C19*$Q$18*$X$19,"-")</f>
        <v>1318.1251054499999</v>
      </c>
      <c r="I19" s="185">
        <f>IFERROR(I7*J13*$S$18*$X$19*C19,"-")</f>
        <v>244.55553848869684</v>
      </c>
      <c r="J19" s="185">
        <f>IFERROR(H7*K13*C19*$R$18*$X$19,"-")+IFERROR(H7*L13*$X$22*C19*$R$18*$X$19,"-")</f>
        <v>292.94467887557249</v>
      </c>
      <c r="K19" s="214">
        <f>IFERROR(J7*M13*C19*$T$18*$X$19*$X$20,"-")</f>
        <v>350.70277918955338</v>
      </c>
      <c r="L19" s="215">
        <f>SUM(D19:K19)</f>
        <v>165064.31678117794</v>
      </c>
      <c r="O19" s="4"/>
      <c r="P19" s="216"/>
      <c r="S19" s="4"/>
      <c r="T19" s="4"/>
      <c r="U19" s="4"/>
      <c r="W19" s="217" t="s">
        <v>198</v>
      </c>
      <c r="X19" s="218">
        <v>2.777778E-4</v>
      </c>
      <c r="Y19" s="219" t="s">
        <v>199</v>
      </c>
      <c r="Z19" s="4"/>
      <c r="AA19" s="4"/>
      <c r="AB19" s="4"/>
    </row>
    <row r="20" spans="1:29" ht="15.75" thickBot="1">
      <c r="A20" s="220"/>
      <c r="B20" s="221" t="s">
        <v>200</v>
      </c>
      <c r="C20" s="221"/>
      <c r="D20" s="222">
        <f>IFERROR(100%-(D18/D19),"-")</f>
        <v>-5.871272159911145E-2</v>
      </c>
      <c r="E20" s="222">
        <f t="shared" ref="E20:G20" si="0">IFERROR(100%-(E18/E19),"-")</f>
        <v>-0.21806539657949164</v>
      </c>
      <c r="F20" s="222">
        <f t="shared" si="0"/>
        <v>0.52533100556169066</v>
      </c>
      <c r="G20" s="222">
        <f t="shared" si="0"/>
        <v>-0.24206088421270011</v>
      </c>
      <c r="H20" s="222">
        <f>IFERROR(100%-(H18/H19),"-")</f>
        <v>0.89506154575628261</v>
      </c>
      <c r="I20" s="222">
        <f>IFERROR(100%-(I18/I19),"-")</f>
        <v>0.5563381202493396</v>
      </c>
      <c r="J20" s="222">
        <f>IFERROR(100%-(J18/J19),"-")</f>
        <v>-0.11293352724587447</v>
      </c>
      <c r="K20" s="222">
        <f>IFERROR(100%-(K18/K19),"-")</f>
        <v>-4.9865884456714582E-2</v>
      </c>
      <c r="L20" s="223">
        <f>IFERROR(100%-(L18/L19),"-")</f>
        <v>-0.12352573867330374</v>
      </c>
      <c r="P20" s="4"/>
      <c r="Q20" s="216"/>
      <c r="T20" s="4"/>
      <c r="U20" s="4"/>
      <c r="V20" s="4"/>
      <c r="W20" s="217" t="s">
        <v>201</v>
      </c>
      <c r="X20" s="218">
        <v>860</v>
      </c>
      <c r="Y20" s="219" t="s">
        <v>202</v>
      </c>
      <c r="Z20" s="4"/>
      <c r="AA20" s="4"/>
      <c r="AB20" s="4"/>
      <c r="AC20" s="4"/>
    </row>
    <row r="21" spans="1:29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T21" s="4"/>
      <c r="U21" s="4"/>
      <c r="V21" s="4"/>
      <c r="W21" s="217" t="s">
        <v>201</v>
      </c>
      <c r="X21" s="224">
        <v>0.86</v>
      </c>
      <c r="Y21" s="219" t="s">
        <v>203</v>
      </c>
      <c r="Z21" s="4"/>
      <c r="AA21" s="4"/>
      <c r="AB21" s="4"/>
      <c r="AC21" s="4"/>
    </row>
    <row r="22" spans="1:29" ht="18.75" thickBot="1">
      <c r="A22" s="4"/>
      <c r="B22" s="4"/>
      <c r="C22" s="4"/>
      <c r="D22" s="102" t="s">
        <v>204</v>
      </c>
      <c r="E22" s="102"/>
      <c r="F22" s="102"/>
      <c r="G22" s="102"/>
      <c r="H22" s="102"/>
      <c r="I22" s="102"/>
      <c r="J22" s="102"/>
      <c r="K22" s="102"/>
      <c r="L22" s="102"/>
      <c r="O22" s="4"/>
      <c r="P22" s="4"/>
      <c r="Q22" s="4"/>
      <c r="R22" s="4"/>
      <c r="S22" s="4"/>
      <c r="T22" s="4"/>
      <c r="U22" s="4"/>
      <c r="V22" s="4"/>
      <c r="W22" s="225" t="s">
        <v>205</v>
      </c>
      <c r="X22" s="226">
        <f>5.36/11</f>
        <v>0.4872727272727273</v>
      </c>
      <c r="Y22" s="227" t="s">
        <v>206</v>
      </c>
      <c r="Z22" s="4"/>
      <c r="AA22" s="4"/>
      <c r="AB22" s="4"/>
      <c r="AC22" s="4"/>
    </row>
    <row r="23" spans="1:29" ht="15" customHeight="1">
      <c r="A23" s="109" t="s">
        <v>161</v>
      </c>
      <c r="B23" s="110" t="s">
        <v>162</v>
      </c>
      <c r="C23" s="111" t="s">
        <v>163</v>
      </c>
      <c r="D23" s="188" t="s">
        <v>180</v>
      </c>
      <c r="E23" s="228" t="s">
        <v>181</v>
      </c>
      <c r="F23" s="229" t="s">
        <v>182</v>
      </c>
      <c r="G23" s="229" t="s">
        <v>183</v>
      </c>
      <c r="H23" s="162" t="s">
        <v>167</v>
      </c>
      <c r="I23" s="162" t="s">
        <v>184</v>
      </c>
      <c r="J23" s="162" t="s">
        <v>185</v>
      </c>
      <c r="K23" s="163" t="s">
        <v>186</v>
      </c>
      <c r="L23" s="189" t="s">
        <v>187</v>
      </c>
      <c r="N23" s="230" t="s">
        <v>207</v>
      </c>
      <c r="O23" s="231"/>
      <c r="P23" s="231"/>
      <c r="Q23" s="231"/>
      <c r="R23" s="231"/>
      <c r="S23" s="231"/>
      <c r="T23" s="231"/>
      <c r="U23" s="232"/>
      <c r="V23" s="4"/>
      <c r="W23" s="4"/>
      <c r="X23" s="4"/>
      <c r="Y23" s="4"/>
      <c r="Z23" s="4"/>
      <c r="AA23" s="4"/>
      <c r="AB23" s="4"/>
      <c r="AC23" s="4"/>
    </row>
    <row r="24" spans="1:29" ht="23.25" thickBot="1">
      <c r="A24" s="121"/>
      <c r="B24" s="122"/>
      <c r="C24" s="123"/>
      <c r="D24" s="193"/>
      <c r="E24" s="233"/>
      <c r="F24" s="234"/>
      <c r="G24" s="234"/>
      <c r="H24" s="168"/>
      <c r="I24" s="168"/>
      <c r="J24" s="168"/>
      <c r="K24" s="170"/>
      <c r="L24" s="194"/>
      <c r="N24" s="235" t="s">
        <v>208</v>
      </c>
      <c r="O24" s="236" t="s">
        <v>181</v>
      </c>
      <c r="P24" s="236" t="s">
        <v>182</v>
      </c>
      <c r="Q24" s="236" t="s">
        <v>183</v>
      </c>
      <c r="R24" s="236" t="s">
        <v>167</v>
      </c>
      <c r="S24" s="236" t="s">
        <v>168</v>
      </c>
      <c r="T24" s="236" t="s">
        <v>169</v>
      </c>
      <c r="U24" s="237" t="s">
        <v>186</v>
      </c>
      <c r="V24" s="4"/>
      <c r="W24" s="4"/>
      <c r="X24" s="4"/>
      <c r="Y24" s="4"/>
      <c r="Z24" s="4"/>
      <c r="AA24" s="4"/>
      <c r="AB24" s="4"/>
    </row>
    <row r="25" spans="1:29" ht="15.75" thickBot="1">
      <c r="A25" s="132">
        <v>2009</v>
      </c>
      <c r="B25" s="133" t="s">
        <v>97</v>
      </c>
      <c r="C25" s="173">
        <f>C6</f>
        <v>2231</v>
      </c>
      <c r="D25" s="200">
        <f>D18*N25</f>
        <v>7026.9498993270008</v>
      </c>
      <c r="E25" s="175">
        <f>E18*$O$25</f>
        <v>36979.910920115704</v>
      </c>
      <c r="F25" s="176">
        <f>F18*$P$25</f>
        <v>3097.8367061602512</v>
      </c>
      <c r="G25" s="176">
        <f>G18*$Q$25</f>
        <v>0</v>
      </c>
      <c r="H25" s="201">
        <f>H18*$R$25</f>
        <v>0</v>
      </c>
      <c r="I25" s="176">
        <f>I18*$T$25</f>
        <v>21.916993921684707</v>
      </c>
      <c r="J25" s="176">
        <f>J18*$S$25</f>
        <v>75.312457546996114</v>
      </c>
      <c r="K25" s="202">
        <f>K18*U25</f>
        <v>102.72525648401987</v>
      </c>
      <c r="L25" s="203">
        <f>SUM(D25:K25)</f>
        <v>47304.652233555658</v>
      </c>
      <c r="N25" s="238">
        <v>1.1910000000000001</v>
      </c>
      <c r="O25" s="239">
        <v>0.35399999999999998</v>
      </c>
      <c r="P25" s="239">
        <v>0.34100000000000003</v>
      </c>
      <c r="Q25" s="239">
        <v>0</v>
      </c>
      <c r="R25" s="239">
        <v>0</v>
      </c>
      <c r="S25" s="240">
        <v>0.23100000000000001</v>
      </c>
      <c r="T25" s="241">
        <v>0.20200000000000001</v>
      </c>
      <c r="U25" s="242">
        <v>0.27900000000000003</v>
      </c>
      <c r="V25" s="4"/>
      <c r="W25" s="4"/>
      <c r="X25" s="4"/>
      <c r="Y25" s="4"/>
      <c r="Z25" s="4"/>
      <c r="AA25" s="4"/>
      <c r="AB25" s="4"/>
    </row>
    <row r="26" spans="1:29" ht="15.75" thickBot="1">
      <c r="A26" s="145">
        <v>2014</v>
      </c>
      <c r="B26" s="146" t="s">
        <v>97</v>
      </c>
      <c r="C26" s="182">
        <f>C7</f>
        <v>2109</v>
      </c>
      <c r="D26" s="212">
        <f>D19*N25</f>
        <v>6637.2583950000007</v>
      </c>
      <c r="E26" s="184">
        <f>E19*$O$25</f>
        <v>30359.544753476115</v>
      </c>
      <c r="F26" s="185">
        <f>F19*$P$25</f>
        <v>6526.3093702297074</v>
      </c>
      <c r="G26" s="185">
        <f>G19*$Q$25</f>
        <v>0</v>
      </c>
      <c r="H26" s="213">
        <f>H19*$R$25</f>
        <v>0</v>
      </c>
      <c r="I26" s="185">
        <f>I19*$T$25</f>
        <v>49.400218774716762</v>
      </c>
      <c r="J26" s="185">
        <f>J19*$S$25</f>
        <v>67.670220820257242</v>
      </c>
      <c r="K26" s="214">
        <f>K19*U25</f>
        <v>97.8460753938854</v>
      </c>
      <c r="L26" s="215">
        <f>SUM(D26:K26)</f>
        <v>43738.029033694678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9" ht="15.75" thickBot="1">
      <c r="A27" s="243"/>
      <c r="B27" s="221" t="s">
        <v>200</v>
      </c>
      <c r="C27" s="221"/>
      <c r="D27" s="222">
        <f>IFERROR(100%-(D25/D26),"-")</f>
        <v>-5.871272159911145E-2</v>
      </c>
      <c r="E27" s="222">
        <f t="shared" ref="E27:G27" si="1">IFERROR(100%-(E25/E26),"-")</f>
        <v>-0.21806539657949142</v>
      </c>
      <c r="F27" s="222">
        <f t="shared" si="1"/>
        <v>0.52533100556169066</v>
      </c>
      <c r="G27" s="222" t="str">
        <f t="shared" si="1"/>
        <v>-</v>
      </c>
      <c r="H27" s="222" t="str">
        <f>IFERROR(100%-(H25/H26),"-")</f>
        <v>-</v>
      </c>
      <c r="I27" s="222">
        <f>IFERROR(100%-(I25/I26),"-")</f>
        <v>0.5563381202493396</v>
      </c>
      <c r="J27" s="222">
        <f>IFERROR(100%-(J25/J26),"-")</f>
        <v>-0.11293352724587469</v>
      </c>
      <c r="K27" s="222">
        <f>IFERROR(100%-(K25/K26),"-")</f>
        <v>-4.9865884456714582E-2</v>
      </c>
      <c r="L27" s="223">
        <f>IFERROR(100%-(L25/L26),"-")</f>
        <v>-8.1545128545077894E-2</v>
      </c>
    </row>
    <row r="28" spans="1:29">
      <c r="G28" s="244"/>
      <c r="K28" s="244"/>
    </row>
    <row r="29" spans="1:29">
      <c r="G29" s="244"/>
      <c r="K29" s="244"/>
    </row>
  </sheetData>
  <mergeCells count="56">
    <mergeCell ref="L23:L24"/>
    <mergeCell ref="B27:C27"/>
    <mergeCell ref="F23:F24"/>
    <mergeCell ref="G23:G24"/>
    <mergeCell ref="H23:H24"/>
    <mergeCell ref="I23:I24"/>
    <mergeCell ref="J23:J24"/>
    <mergeCell ref="K23:K24"/>
    <mergeCell ref="I16:I17"/>
    <mergeCell ref="J16:J17"/>
    <mergeCell ref="K16:K17"/>
    <mergeCell ref="L16:L17"/>
    <mergeCell ref="B20:C20"/>
    <mergeCell ref="A23:A24"/>
    <mergeCell ref="B23:B24"/>
    <mergeCell ref="C23:C24"/>
    <mergeCell ref="D23:D24"/>
    <mergeCell ref="E23:E24"/>
    <mergeCell ref="L10:L11"/>
    <mergeCell ref="M10:M11"/>
    <mergeCell ref="A16:A17"/>
    <mergeCell ref="B16:B17"/>
    <mergeCell ref="C16:C17"/>
    <mergeCell ref="D16:D17"/>
    <mergeCell ref="E16:E17"/>
    <mergeCell ref="F16:F17"/>
    <mergeCell ref="G16:G17"/>
    <mergeCell ref="H16:H17"/>
    <mergeCell ref="F10:F11"/>
    <mergeCell ref="G10:G11"/>
    <mergeCell ref="H10:H11"/>
    <mergeCell ref="I10:I11"/>
    <mergeCell ref="J10:J11"/>
    <mergeCell ref="K10:K11"/>
    <mergeCell ref="N4:N5"/>
    <mergeCell ref="O4:O5"/>
    <mergeCell ref="P4:P5"/>
    <mergeCell ref="Q4:Q5"/>
    <mergeCell ref="R4:R5"/>
    <mergeCell ref="A10:A11"/>
    <mergeCell ref="B10:B11"/>
    <mergeCell ref="C10:C11"/>
    <mergeCell ref="D10:D11"/>
    <mergeCell ref="E10:E11"/>
    <mergeCell ref="G4:G5"/>
    <mergeCell ref="H4:H5"/>
    <mergeCell ref="I4:I5"/>
    <mergeCell ref="J4:J5"/>
    <mergeCell ref="L4:L5"/>
    <mergeCell ref="M4:M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9"/>
  <sheetViews>
    <sheetView workbookViewId="0">
      <selection activeCell="M19" sqref="M19"/>
    </sheetView>
  </sheetViews>
  <sheetFormatPr defaultRowHeight="15"/>
  <cols>
    <col min="1" max="1" width="9.140625" customWidth="1"/>
    <col min="2" max="2" width="7" customWidth="1"/>
    <col min="3" max="3" width="3.42578125" customWidth="1"/>
    <col min="4" max="4" width="4.7109375" customWidth="1"/>
    <col min="5" max="5" width="12.28515625" customWidth="1"/>
    <col min="6" max="6" width="10.7109375" customWidth="1"/>
    <col min="7" max="14" width="5.5703125" customWidth="1"/>
    <col min="15" max="15" width="8.5703125" customWidth="1"/>
    <col min="16" max="23" width="5.5703125" customWidth="1"/>
    <col min="24" max="24" width="8.42578125" customWidth="1"/>
    <col min="25" max="25" width="5.85546875" customWidth="1"/>
    <col min="26" max="26" width="8.140625" style="86" customWidth="1"/>
    <col min="27" max="28" width="7.7109375" customWidth="1"/>
    <col min="29" max="35" width="4.42578125" customWidth="1"/>
    <col min="36" max="36" width="5.85546875" customWidth="1"/>
    <col min="37" max="37" width="7.28515625" customWidth="1"/>
    <col min="38" max="44" width="4.42578125" customWidth="1"/>
    <col min="45" max="45" width="5.85546875" customWidth="1"/>
    <col min="46" max="46" width="7.42578125" customWidth="1"/>
    <col min="47" max="47" width="5.42578125" customWidth="1"/>
    <col min="48" max="50" width="4.42578125" customWidth="1"/>
    <col min="51" max="51" width="4.85546875" customWidth="1"/>
    <col min="52" max="52" width="4.5703125" customWidth="1"/>
    <col min="53" max="53" width="4.42578125" customWidth="1"/>
    <col min="54" max="54" width="6.140625" customWidth="1"/>
    <col min="55" max="55" width="6.5703125" customWidth="1"/>
    <col min="56" max="62" width="4.42578125" customWidth="1"/>
    <col min="63" max="63" width="5.85546875" customWidth="1"/>
    <col min="64" max="64" width="7.42578125" customWidth="1"/>
    <col min="65" max="71" width="4.42578125" customWidth="1"/>
    <col min="72" max="72" width="5.85546875" customWidth="1"/>
    <col min="73" max="73" width="7.42578125" customWidth="1"/>
    <col min="74" max="74" width="4.85546875" customWidth="1"/>
    <col min="75" max="75" width="5.140625" customWidth="1"/>
    <col min="76" max="76" width="4.5703125" customWidth="1"/>
    <col min="77" max="77" width="4.85546875" customWidth="1"/>
    <col min="78" max="78" width="5.140625" customWidth="1"/>
    <col min="79" max="79" width="4.7109375" customWidth="1"/>
    <col min="80" max="80" width="5.140625" customWidth="1"/>
    <col min="81" max="81" width="4.5703125" customWidth="1"/>
    <col min="82" max="82" width="6" customWidth="1"/>
    <col min="83" max="83" width="6.42578125" style="216" customWidth="1"/>
    <col min="84" max="84" width="7.28515625" customWidth="1"/>
  </cols>
  <sheetData>
    <row r="1" spans="1:84">
      <c r="A1" s="4"/>
      <c r="B1" s="4"/>
      <c r="C1" s="4"/>
      <c r="D1" s="4"/>
      <c r="E1" s="4"/>
      <c r="F1" s="4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4"/>
      <c r="Z1" s="246" t="s">
        <v>209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spans="1:84" ht="17.25" customHeight="1">
      <c r="A2" s="4"/>
      <c r="B2" s="4"/>
      <c r="C2" s="4"/>
      <c r="D2" s="4"/>
      <c r="E2" s="4"/>
      <c r="F2" s="4"/>
      <c r="G2" s="247">
        <v>2009</v>
      </c>
      <c r="H2" s="248"/>
      <c r="I2" s="248"/>
      <c r="J2" s="248"/>
      <c r="K2" s="248"/>
      <c r="L2" s="248"/>
      <c r="M2" s="248"/>
      <c r="N2" s="248"/>
      <c r="O2" s="249"/>
      <c r="P2" s="250">
        <v>2014</v>
      </c>
      <c r="Q2" s="250"/>
      <c r="R2" s="250"/>
      <c r="S2" s="250"/>
      <c r="T2" s="250"/>
      <c r="U2" s="250"/>
      <c r="V2" s="250"/>
      <c r="W2" s="250"/>
      <c r="X2" s="251"/>
      <c r="Y2" s="4"/>
      <c r="Z2" s="252" t="s">
        <v>210</v>
      </c>
      <c r="AA2" s="253"/>
      <c r="AB2" s="254"/>
      <c r="AC2" s="255" t="s">
        <v>211</v>
      </c>
      <c r="AD2" s="255"/>
      <c r="AE2" s="255"/>
      <c r="AF2" s="255"/>
      <c r="AG2" s="255"/>
      <c r="AH2" s="255"/>
      <c r="AI2" s="255"/>
      <c r="AJ2" s="255"/>
      <c r="AK2" s="256"/>
      <c r="AL2" s="257" t="s">
        <v>212</v>
      </c>
      <c r="AM2" s="257"/>
      <c r="AN2" s="257"/>
      <c r="AO2" s="257"/>
      <c r="AP2" s="257"/>
      <c r="AQ2" s="257"/>
      <c r="AR2" s="257"/>
      <c r="AS2" s="257"/>
      <c r="AT2" s="258"/>
      <c r="AU2" s="259">
        <v>2009</v>
      </c>
      <c r="AV2" s="259"/>
      <c r="AW2" s="259"/>
      <c r="AX2" s="259"/>
      <c r="AY2" s="259"/>
      <c r="AZ2" s="259"/>
      <c r="BA2" s="259"/>
      <c r="BB2" s="259"/>
      <c r="BC2" s="260"/>
      <c r="BD2" s="261" t="s">
        <v>213</v>
      </c>
      <c r="BE2" s="261"/>
      <c r="BF2" s="261"/>
      <c r="BG2" s="261"/>
      <c r="BH2" s="261"/>
      <c r="BI2" s="261"/>
      <c r="BJ2" s="261"/>
      <c r="BK2" s="261"/>
      <c r="BL2" s="262"/>
      <c r="BM2" s="257" t="s">
        <v>214</v>
      </c>
      <c r="BN2" s="257"/>
      <c r="BO2" s="257"/>
      <c r="BP2" s="257"/>
      <c r="BQ2" s="257"/>
      <c r="BR2" s="257"/>
      <c r="BS2" s="257"/>
      <c r="BT2" s="257"/>
      <c r="BU2" s="257"/>
      <c r="BV2" s="263">
        <v>2014</v>
      </c>
      <c r="BW2" s="259"/>
      <c r="BX2" s="259"/>
      <c r="BY2" s="259"/>
      <c r="BZ2" s="259"/>
      <c r="CA2" s="259"/>
      <c r="CB2" s="259"/>
      <c r="CC2" s="259"/>
      <c r="CD2" s="260"/>
    </row>
    <row r="3" spans="1:84" s="278" customFormat="1" ht="34.5" customHeight="1" thickBot="1">
      <c r="A3" s="264"/>
      <c r="B3" s="264"/>
      <c r="C3" s="264"/>
      <c r="D3" s="264"/>
      <c r="E3" s="264"/>
      <c r="F3" s="264"/>
      <c r="G3" s="265" t="s">
        <v>3</v>
      </c>
      <c r="H3" s="266"/>
      <c r="I3" s="266"/>
      <c r="J3" s="266"/>
      <c r="K3" s="266"/>
      <c r="L3" s="266"/>
      <c r="M3" s="266"/>
      <c r="N3" s="267"/>
      <c r="O3" s="268" t="s">
        <v>4</v>
      </c>
      <c r="P3" s="265" t="s">
        <v>3</v>
      </c>
      <c r="Q3" s="266"/>
      <c r="R3" s="266"/>
      <c r="S3" s="266"/>
      <c r="T3" s="266"/>
      <c r="U3" s="266"/>
      <c r="V3" s="266"/>
      <c r="W3" s="267"/>
      <c r="X3" s="268" t="s">
        <v>4</v>
      </c>
      <c r="Y3" s="264"/>
      <c r="Z3" s="269" t="s">
        <v>3</v>
      </c>
      <c r="AA3" s="270"/>
      <c r="AB3" s="271" t="s">
        <v>4</v>
      </c>
      <c r="AC3" s="272" t="s">
        <v>3</v>
      </c>
      <c r="AD3" s="273"/>
      <c r="AE3" s="273"/>
      <c r="AF3" s="273"/>
      <c r="AG3" s="273"/>
      <c r="AH3" s="273"/>
      <c r="AI3" s="273"/>
      <c r="AJ3" s="274"/>
      <c r="AK3" s="275" t="s">
        <v>4</v>
      </c>
      <c r="AL3" s="272" t="s">
        <v>3</v>
      </c>
      <c r="AM3" s="273"/>
      <c r="AN3" s="273"/>
      <c r="AO3" s="273"/>
      <c r="AP3" s="273"/>
      <c r="AQ3" s="273"/>
      <c r="AR3" s="273"/>
      <c r="AS3" s="274"/>
      <c r="AT3" s="275" t="s">
        <v>4</v>
      </c>
      <c r="AU3" s="272" t="s">
        <v>3</v>
      </c>
      <c r="AV3" s="273"/>
      <c r="AW3" s="273"/>
      <c r="AX3" s="273"/>
      <c r="AY3" s="273"/>
      <c r="AZ3" s="273"/>
      <c r="BA3" s="273"/>
      <c r="BB3" s="274"/>
      <c r="BC3" s="275" t="s">
        <v>4</v>
      </c>
      <c r="BD3" s="272" t="s">
        <v>3</v>
      </c>
      <c r="BE3" s="273"/>
      <c r="BF3" s="273"/>
      <c r="BG3" s="273"/>
      <c r="BH3" s="273"/>
      <c r="BI3" s="273"/>
      <c r="BJ3" s="273"/>
      <c r="BK3" s="274"/>
      <c r="BL3" s="275" t="s">
        <v>4</v>
      </c>
      <c r="BM3" s="272" t="s">
        <v>3</v>
      </c>
      <c r="BN3" s="273"/>
      <c r="BO3" s="273"/>
      <c r="BP3" s="273"/>
      <c r="BQ3" s="273"/>
      <c r="BR3" s="273"/>
      <c r="BS3" s="273"/>
      <c r="BT3" s="274"/>
      <c r="BU3" s="276" t="s">
        <v>4</v>
      </c>
      <c r="BV3" s="272" t="s">
        <v>3</v>
      </c>
      <c r="BW3" s="273"/>
      <c r="BX3" s="273"/>
      <c r="BY3" s="273"/>
      <c r="BZ3" s="273"/>
      <c r="CA3" s="273"/>
      <c r="CB3" s="273"/>
      <c r="CC3" s="274"/>
      <c r="CD3" s="275" t="s">
        <v>4</v>
      </c>
      <c r="CE3" s="277"/>
    </row>
    <row r="4" spans="1:84" s="278" customFormat="1" ht="66" customHeight="1" thickBot="1">
      <c r="A4" s="40" t="s">
        <v>10</v>
      </c>
      <c r="B4" s="41" t="s">
        <v>11</v>
      </c>
      <c r="C4" s="41" t="s">
        <v>12</v>
      </c>
      <c r="D4" s="41" t="s">
        <v>13</v>
      </c>
      <c r="E4" s="41" t="s">
        <v>215</v>
      </c>
      <c r="F4" s="43" t="s">
        <v>15</v>
      </c>
      <c r="G4" s="279" t="s">
        <v>25</v>
      </c>
      <c r="H4" s="280" t="s">
        <v>26</v>
      </c>
      <c r="I4" s="280" t="s">
        <v>27</v>
      </c>
      <c r="J4" s="280" t="s">
        <v>28</v>
      </c>
      <c r="K4" s="280" t="s">
        <v>30</v>
      </c>
      <c r="L4" s="280" t="s">
        <v>31</v>
      </c>
      <c r="M4" s="280" t="s">
        <v>32</v>
      </c>
      <c r="N4" s="281" t="s">
        <v>34</v>
      </c>
      <c r="O4" s="282" t="s">
        <v>35</v>
      </c>
      <c r="P4" s="279" t="s">
        <v>25</v>
      </c>
      <c r="Q4" s="280" t="s">
        <v>26</v>
      </c>
      <c r="R4" s="280" t="s">
        <v>27</v>
      </c>
      <c r="S4" s="280" t="s">
        <v>28</v>
      </c>
      <c r="T4" s="280" t="s">
        <v>30</v>
      </c>
      <c r="U4" s="280" t="s">
        <v>31</v>
      </c>
      <c r="V4" s="280" t="s">
        <v>32</v>
      </c>
      <c r="W4" s="281" t="s">
        <v>34</v>
      </c>
      <c r="X4" s="282" t="s">
        <v>35</v>
      </c>
      <c r="Y4" s="283"/>
      <c r="Z4" s="284" t="s">
        <v>216</v>
      </c>
      <c r="AA4" s="285" t="s">
        <v>217</v>
      </c>
      <c r="AB4" s="286" t="s">
        <v>35</v>
      </c>
      <c r="AC4" s="279" t="s">
        <v>25</v>
      </c>
      <c r="AD4" s="280" t="s">
        <v>26</v>
      </c>
      <c r="AE4" s="280" t="s">
        <v>27</v>
      </c>
      <c r="AF4" s="280" t="s">
        <v>28</v>
      </c>
      <c r="AG4" s="280" t="s">
        <v>30</v>
      </c>
      <c r="AH4" s="280" t="s">
        <v>31</v>
      </c>
      <c r="AI4" s="280" t="s">
        <v>32</v>
      </c>
      <c r="AJ4" s="281" t="s">
        <v>218</v>
      </c>
      <c r="AK4" s="287" t="s">
        <v>35</v>
      </c>
      <c r="AL4" s="279" t="s">
        <v>25</v>
      </c>
      <c r="AM4" s="280" t="s">
        <v>26</v>
      </c>
      <c r="AN4" s="280" t="s">
        <v>27</v>
      </c>
      <c r="AO4" s="280" t="s">
        <v>28</v>
      </c>
      <c r="AP4" s="280" t="s">
        <v>30</v>
      </c>
      <c r="AQ4" s="280" t="s">
        <v>31</v>
      </c>
      <c r="AR4" s="280" t="s">
        <v>32</v>
      </c>
      <c r="AS4" s="281" t="s">
        <v>218</v>
      </c>
      <c r="AT4" s="287" t="s">
        <v>35</v>
      </c>
      <c r="AU4" s="279" t="s">
        <v>25</v>
      </c>
      <c r="AV4" s="280" t="s">
        <v>26</v>
      </c>
      <c r="AW4" s="280" t="s">
        <v>27</v>
      </c>
      <c r="AX4" s="280" t="s">
        <v>28</v>
      </c>
      <c r="AY4" s="280" t="s">
        <v>30</v>
      </c>
      <c r="AZ4" s="280" t="s">
        <v>31</v>
      </c>
      <c r="BA4" s="280" t="s">
        <v>32</v>
      </c>
      <c r="BB4" s="281" t="s">
        <v>218</v>
      </c>
      <c r="BC4" s="287" t="s">
        <v>35</v>
      </c>
      <c r="BD4" s="279" t="s">
        <v>25</v>
      </c>
      <c r="BE4" s="280" t="s">
        <v>26</v>
      </c>
      <c r="BF4" s="280" t="s">
        <v>27</v>
      </c>
      <c r="BG4" s="280" t="s">
        <v>28</v>
      </c>
      <c r="BH4" s="280" t="s">
        <v>30</v>
      </c>
      <c r="BI4" s="280" t="s">
        <v>31</v>
      </c>
      <c r="BJ4" s="280" t="s">
        <v>32</v>
      </c>
      <c r="BK4" s="281" t="s">
        <v>218</v>
      </c>
      <c r="BL4" s="287" t="s">
        <v>35</v>
      </c>
      <c r="BM4" s="279" t="s">
        <v>25</v>
      </c>
      <c r="BN4" s="280" t="s">
        <v>26</v>
      </c>
      <c r="BO4" s="280" t="s">
        <v>27</v>
      </c>
      <c r="BP4" s="280" t="s">
        <v>28</v>
      </c>
      <c r="BQ4" s="280" t="s">
        <v>30</v>
      </c>
      <c r="BR4" s="280" t="s">
        <v>31</v>
      </c>
      <c r="BS4" s="280" t="s">
        <v>32</v>
      </c>
      <c r="BT4" s="281" t="s">
        <v>218</v>
      </c>
      <c r="BU4" s="288" t="s">
        <v>35</v>
      </c>
      <c r="BV4" s="279" t="s">
        <v>25</v>
      </c>
      <c r="BW4" s="280" t="s">
        <v>26</v>
      </c>
      <c r="BX4" s="280" t="s">
        <v>27</v>
      </c>
      <c r="BY4" s="280" t="s">
        <v>28</v>
      </c>
      <c r="BZ4" s="280" t="s">
        <v>30</v>
      </c>
      <c r="CA4" s="280" t="s">
        <v>31</v>
      </c>
      <c r="CB4" s="280" t="s">
        <v>32</v>
      </c>
      <c r="CC4" s="281" t="s">
        <v>218</v>
      </c>
      <c r="CD4" s="287" t="s">
        <v>35</v>
      </c>
      <c r="CE4" s="277" t="s">
        <v>219</v>
      </c>
      <c r="CF4" s="277" t="s">
        <v>219</v>
      </c>
    </row>
    <row r="5" spans="1:84" s="303" customFormat="1" ht="12.75" customHeight="1">
      <c r="A5" s="70" t="s">
        <v>42</v>
      </c>
      <c r="B5" s="70" t="s">
        <v>220</v>
      </c>
      <c r="C5" s="70">
        <v>28</v>
      </c>
      <c r="D5" s="70" t="s">
        <v>44</v>
      </c>
      <c r="E5" s="70" t="s">
        <v>215</v>
      </c>
      <c r="F5" s="289" t="s">
        <v>221</v>
      </c>
      <c r="G5" s="290"/>
      <c r="H5" s="91"/>
      <c r="I5" s="91"/>
      <c r="J5" s="91"/>
      <c r="K5" s="91"/>
      <c r="L5" s="91">
        <f>AA5*1000</f>
        <v>78570</v>
      </c>
      <c r="M5" s="91"/>
      <c r="N5" s="91"/>
      <c r="O5" s="291">
        <f>AB5</f>
        <v>37746</v>
      </c>
      <c r="P5" s="290"/>
      <c r="Q5" s="91"/>
      <c r="R5" s="91"/>
      <c r="S5" s="91"/>
      <c r="T5" s="91"/>
      <c r="U5" s="91">
        <f>L5+L5*10%</f>
        <v>86427</v>
      </c>
      <c r="V5" s="91"/>
      <c r="W5" s="91"/>
      <c r="X5" s="291">
        <f>O5+O5*11%</f>
        <v>41898.06</v>
      </c>
      <c r="Y5" s="292"/>
      <c r="Z5" s="293" t="s">
        <v>222</v>
      </c>
      <c r="AA5" s="294">
        <v>78.569999999999993</v>
      </c>
      <c r="AB5" s="291">
        <v>37746</v>
      </c>
      <c r="AC5" s="295"/>
      <c r="AD5" s="296"/>
      <c r="AE5" s="296"/>
      <c r="AF5" s="296"/>
      <c r="AG5" s="296"/>
      <c r="AH5" s="296"/>
      <c r="AI5" s="296"/>
      <c r="AJ5" s="296"/>
      <c r="AK5" s="297"/>
      <c r="AL5" s="295"/>
      <c r="AM5" s="296"/>
      <c r="AN5" s="296"/>
      <c r="AO5" s="296"/>
      <c r="AP5" s="296"/>
      <c r="AQ5" s="296"/>
      <c r="AR5" s="296"/>
      <c r="AS5" s="296"/>
      <c r="AT5" s="297"/>
      <c r="AU5" s="298"/>
      <c r="AV5" s="298"/>
      <c r="AW5" s="298"/>
      <c r="AX5" s="298"/>
      <c r="AY5" s="298"/>
      <c r="AZ5" s="298"/>
      <c r="BA5" s="298"/>
      <c r="BB5" s="298"/>
      <c r="BC5" s="298"/>
      <c r="BD5" s="295"/>
      <c r="BE5" s="296"/>
      <c r="BF5" s="296"/>
      <c r="BG5" s="296"/>
      <c r="BH5" s="296"/>
      <c r="BI5" s="296"/>
      <c r="BJ5" s="296"/>
      <c r="BK5" s="296"/>
      <c r="BL5" s="297"/>
      <c r="BM5" s="295"/>
      <c r="BN5" s="296"/>
      <c r="BO5" s="296"/>
      <c r="BP5" s="296"/>
      <c r="BQ5" s="296"/>
      <c r="BR5" s="296"/>
      <c r="BS5" s="296"/>
      <c r="BT5" s="296"/>
      <c r="BU5" s="299"/>
      <c r="BV5" s="290"/>
      <c r="BW5" s="91"/>
      <c r="BX5" s="91"/>
      <c r="BY5" s="91"/>
      <c r="BZ5" s="91"/>
      <c r="CA5" s="91"/>
      <c r="CB5" s="91"/>
      <c r="CC5" s="91"/>
      <c r="CD5" s="300"/>
      <c r="CE5" s="301" t="str">
        <f>E5</f>
        <v>komunalne publiczne</v>
      </c>
      <c r="CF5" s="302"/>
    </row>
    <row r="6" spans="1:84" s="303" customFormat="1" ht="12.75" customHeight="1">
      <c r="A6" s="70" t="s">
        <v>52</v>
      </c>
      <c r="B6" s="70" t="s">
        <v>43</v>
      </c>
      <c r="C6" s="70">
        <v>19</v>
      </c>
      <c r="D6" s="70" t="s">
        <v>44</v>
      </c>
      <c r="E6" s="70" t="s">
        <v>215</v>
      </c>
      <c r="F6" s="289" t="s">
        <v>223</v>
      </c>
      <c r="G6" s="290"/>
      <c r="H6" s="91">
        <f>AA6</f>
        <v>36.340000000000003</v>
      </c>
      <c r="I6" s="91"/>
      <c r="J6" s="91"/>
      <c r="K6" s="91"/>
      <c r="L6" s="91"/>
      <c r="M6" s="91"/>
      <c r="N6" s="91"/>
      <c r="O6" s="291">
        <f>AB6</f>
        <v>17142</v>
      </c>
      <c r="P6" s="290"/>
      <c r="Q6" s="91">
        <v>27.56</v>
      </c>
      <c r="R6" s="91"/>
      <c r="S6" s="91"/>
      <c r="T6" s="91"/>
      <c r="U6" s="91"/>
      <c r="V6" s="91"/>
      <c r="W6" s="91"/>
      <c r="X6" s="291">
        <f>BU6</f>
        <v>17767</v>
      </c>
      <c r="Y6" s="304"/>
      <c r="Z6" s="305" t="s">
        <v>224</v>
      </c>
      <c r="AA6" s="88">
        <v>36.340000000000003</v>
      </c>
      <c r="AB6" s="306">
        <v>17142</v>
      </c>
      <c r="AC6" s="307"/>
      <c r="AD6" s="308"/>
      <c r="AE6" s="308"/>
      <c r="AF6" s="308"/>
      <c r="AG6" s="308"/>
      <c r="AH6" s="308"/>
      <c r="AI6" s="308"/>
      <c r="AJ6" s="308"/>
      <c r="AK6" s="309"/>
      <c r="AL6" s="307"/>
      <c r="AM6" s="308"/>
      <c r="AN6" s="308"/>
      <c r="AO6" s="308"/>
      <c r="AP6" s="308"/>
      <c r="AQ6" s="308"/>
      <c r="AR6" s="308"/>
      <c r="AS6" s="308"/>
      <c r="AT6" s="309"/>
      <c r="AU6" s="298"/>
      <c r="AV6" s="298"/>
      <c r="AW6" s="298"/>
      <c r="AX6" s="298"/>
      <c r="AY6" s="298"/>
      <c r="AZ6" s="298"/>
      <c r="BA6" s="298"/>
      <c r="BB6" s="298"/>
      <c r="BC6" s="310"/>
      <c r="BD6" s="307"/>
      <c r="BE6" s="308"/>
      <c r="BF6" s="308"/>
      <c r="BG6" s="308"/>
      <c r="BH6" s="308"/>
      <c r="BI6" s="308"/>
      <c r="BJ6" s="308"/>
      <c r="BK6" s="308"/>
      <c r="BL6" s="309"/>
      <c r="BM6" s="307"/>
      <c r="BN6" s="308">
        <v>27.56</v>
      </c>
      <c r="BO6" s="308"/>
      <c r="BP6" s="308"/>
      <c r="BQ6" s="308"/>
      <c r="BR6" s="308"/>
      <c r="BS6" s="308"/>
      <c r="BT6" s="308"/>
      <c r="BU6" s="311">
        <v>17767</v>
      </c>
      <c r="BV6" s="312"/>
      <c r="BW6" s="313">
        <f t="shared" ref="BW6:BW22" si="0">BE6+BN6</f>
        <v>27.56</v>
      </c>
      <c r="BX6" s="313"/>
      <c r="BY6" s="313"/>
      <c r="BZ6" s="313"/>
      <c r="CA6" s="313"/>
      <c r="CB6" s="313"/>
      <c r="CC6" s="313"/>
      <c r="CD6" s="314"/>
      <c r="CE6" s="301" t="str">
        <f t="shared" ref="CE6:CE19" si="1">E6</f>
        <v>komunalne publiczne</v>
      </c>
      <c r="CF6" s="302"/>
    </row>
    <row r="7" spans="1:84" s="303" customFormat="1" ht="12.75" customHeight="1">
      <c r="A7" s="70" t="s">
        <v>154</v>
      </c>
      <c r="B7" s="70" t="s">
        <v>72</v>
      </c>
      <c r="C7" s="70">
        <v>16</v>
      </c>
      <c r="D7" s="70"/>
      <c r="E7" s="70" t="s">
        <v>215</v>
      </c>
      <c r="F7" s="289" t="s">
        <v>225</v>
      </c>
      <c r="G7" s="290"/>
      <c r="H7" s="91">
        <f>AA7</f>
        <v>58.8</v>
      </c>
      <c r="I7" s="91"/>
      <c r="J7" s="91"/>
      <c r="K7" s="91"/>
      <c r="L7" s="91"/>
      <c r="M7" s="91"/>
      <c r="N7" s="91"/>
      <c r="O7" s="291">
        <f>AB7</f>
        <v>18716</v>
      </c>
      <c r="P7" s="290"/>
      <c r="Q7" s="91">
        <v>34.200000000000003</v>
      </c>
      <c r="R7" s="91"/>
      <c r="S7" s="91"/>
      <c r="T7" s="91"/>
      <c r="U7" s="91"/>
      <c r="V7" s="91"/>
      <c r="W7" s="91"/>
      <c r="X7" s="291">
        <f>BU7</f>
        <v>22015</v>
      </c>
      <c r="Y7" s="304"/>
      <c r="Z7" s="305" t="s">
        <v>224</v>
      </c>
      <c r="AA7" s="88">
        <v>58.8</v>
      </c>
      <c r="AB7" s="306">
        <v>18716</v>
      </c>
      <c r="AC7" s="307"/>
      <c r="AD7" s="308"/>
      <c r="AE7" s="308"/>
      <c r="AF7" s="308"/>
      <c r="AG7" s="308"/>
      <c r="AH7" s="308"/>
      <c r="AI7" s="308"/>
      <c r="AJ7" s="308"/>
      <c r="AK7" s="309"/>
      <c r="AL7" s="307"/>
      <c r="AM7" s="308"/>
      <c r="AN7" s="308"/>
      <c r="AO7" s="308"/>
      <c r="AP7" s="308"/>
      <c r="AQ7" s="308"/>
      <c r="AR7" s="308"/>
      <c r="AS7" s="308"/>
      <c r="AT7" s="309"/>
      <c r="AU7" s="298"/>
      <c r="AV7" s="298"/>
      <c r="AW7" s="298"/>
      <c r="AX7" s="298"/>
      <c r="AY7" s="298"/>
      <c r="AZ7" s="298"/>
      <c r="BA7" s="298"/>
      <c r="BB7" s="298"/>
      <c r="BC7" s="310"/>
      <c r="BD7" s="307"/>
      <c r="BE7" s="308"/>
      <c r="BF7" s="308"/>
      <c r="BG7" s="308"/>
      <c r="BH7" s="308"/>
      <c r="BI7" s="308"/>
      <c r="BJ7" s="308"/>
      <c r="BK7" s="308"/>
      <c r="BL7" s="309"/>
      <c r="BM7" s="307"/>
      <c r="BN7" s="308">
        <v>34.200000000000003</v>
      </c>
      <c r="BO7" s="308"/>
      <c r="BP7" s="308"/>
      <c r="BQ7" s="308"/>
      <c r="BR7" s="308"/>
      <c r="BS7" s="308"/>
      <c r="BT7" s="308"/>
      <c r="BU7" s="311">
        <v>22015</v>
      </c>
      <c r="BV7" s="312"/>
      <c r="BW7" s="313">
        <f t="shared" si="0"/>
        <v>34.200000000000003</v>
      </c>
      <c r="BX7" s="313"/>
      <c r="BY7" s="313"/>
      <c r="BZ7" s="313"/>
      <c r="CA7" s="313"/>
      <c r="CB7" s="313"/>
      <c r="CC7" s="313"/>
      <c r="CD7" s="314"/>
      <c r="CE7" s="301" t="str">
        <f t="shared" si="1"/>
        <v>komunalne publiczne</v>
      </c>
      <c r="CF7" s="302"/>
    </row>
    <row r="8" spans="1:84" s="303" customFormat="1" ht="12.75" customHeight="1">
      <c r="A8" s="70" t="s">
        <v>61</v>
      </c>
      <c r="B8" s="70" t="s">
        <v>43</v>
      </c>
      <c r="C8" s="70">
        <v>1</v>
      </c>
      <c r="D8" s="70" t="s">
        <v>106</v>
      </c>
      <c r="E8" s="70" t="s">
        <v>215</v>
      </c>
      <c r="F8" s="289" t="s">
        <v>226</v>
      </c>
      <c r="G8" s="290"/>
      <c r="H8" s="91"/>
      <c r="I8" s="91"/>
      <c r="J8" s="91"/>
      <c r="K8" s="91"/>
      <c r="L8" s="91"/>
      <c r="M8" s="91"/>
      <c r="N8" s="91">
        <f>(AJ8+AS8)/1000</f>
        <v>19.100000000000001</v>
      </c>
      <c r="O8" s="291">
        <f>AB8</f>
        <v>19710</v>
      </c>
      <c r="P8" s="290"/>
      <c r="Q8" s="91"/>
      <c r="R8" s="91"/>
      <c r="S8" s="91"/>
      <c r="T8" s="91"/>
      <c r="U8" s="91"/>
      <c r="V8" s="91"/>
      <c r="W8" s="91">
        <f>(BK8+BT8)/1000</f>
        <v>19.579999999999998</v>
      </c>
      <c r="X8" s="291">
        <f>BU8</f>
        <v>22828</v>
      </c>
      <c r="Y8" s="304"/>
      <c r="Z8" s="305" t="s">
        <v>227</v>
      </c>
      <c r="AA8" s="88">
        <v>44.04</v>
      </c>
      <c r="AB8" s="306">
        <v>19710</v>
      </c>
      <c r="AC8" s="307"/>
      <c r="AD8" s="308"/>
      <c r="AE8" s="308"/>
      <c r="AF8" s="308"/>
      <c r="AG8" s="308"/>
      <c r="AH8" s="308"/>
      <c r="AI8" s="308"/>
      <c r="AJ8" s="308">
        <v>12050</v>
      </c>
      <c r="AK8" s="309"/>
      <c r="AL8" s="307"/>
      <c r="AM8" s="308"/>
      <c r="AN8" s="308"/>
      <c r="AO8" s="308"/>
      <c r="AP8" s="308"/>
      <c r="AQ8" s="308"/>
      <c r="AR8" s="308"/>
      <c r="AS8" s="308">
        <v>7050</v>
      </c>
      <c r="AT8" s="309"/>
      <c r="AU8" s="298"/>
      <c r="AV8" s="298"/>
      <c r="AW8" s="298"/>
      <c r="AX8" s="298"/>
      <c r="AY8" s="298"/>
      <c r="AZ8" s="298"/>
      <c r="BA8" s="298"/>
      <c r="BB8" s="298">
        <f>AJ8+AS8</f>
        <v>19100</v>
      </c>
      <c r="BC8" s="310"/>
      <c r="BD8" s="307"/>
      <c r="BE8" s="308"/>
      <c r="BF8" s="308"/>
      <c r="BG8" s="308"/>
      <c r="BH8" s="308"/>
      <c r="BI8" s="308"/>
      <c r="BJ8" s="308"/>
      <c r="BK8" s="308">
        <v>11600</v>
      </c>
      <c r="BL8" s="309"/>
      <c r="BM8" s="307"/>
      <c r="BN8" s="308"/>
      <c r="BO8" s="308"/>
      <c r="BP8" s="308"/>
      <c r="BQ8" s="308"/>
      <c r="BR8" s="308"/>
      <c r="BS8" s="308"/>
      <c r="BT8" s="308">
        <v>7980</v>
      </c>
      <c r="BU8" s="311">
        <v>22828</v>
      </c>
      <c r="BV8" s="312"/>
      <c r="BW8" s="313"/>
      <c r="BX8" s="313"/>
      <c r="BY8" s="313"/>
      <c r="BZ8" s="313"/>
      <c r="CA8" s="313"/>
      <c r="CB8" s="313"/>
      <c r="CC8" s="313">
        <f>BK8+BT8</f>
        <v>19580</v>
      </c>
      <c r="CD8" s="314"/>
      <c r="CE8" s="301" t="str">
        <f t="shared" si="1"/>
        <v>komunalne publiczne</v>
      </c>
      <c r="CF8" s="302"/>
    </row>
    <row r="9" spans="1:84" s="303" customFormat="1" ht="12.75">
      <c r="A9" s="70" t="s">
        <v>42</v>
      </c>
      <c r="B9" s="70" t="s">
        <v>83</v>
      </c>
      <c r="C9" s="70">
        <v>11</v>
      </c>
      <c r="D9" s="70" t="s">
        <v>44</v>
      </c>
      <c r="E9" s="70" t="s">
        <v>215</v>
      </c>
      <c r="F9" s="289" t="s">
        <v>228</v>
      </c>
      <c r="G9" s="290"/>
      <c r="H9" s="91">
        <v>58.44</v>
      </c>
      <c r="I9" s="91"/>
      <c r="J9" s="91"/>
      <c r="K9" s="91"/>
      <c r="L9" s="91"/>
      <c r="M9" s="91"/>
      <c r="N9" s="91"/>
      <c r="O9" s="291">
        <f>AT9</f>
        <v>25789</v>
      </c>
      <c r="P9" s="290"/>
      <c r="Q9" s="91">
        <v>41</v>
      </c>
      <c r="R9" s="91"/>
      <c r="S9" s="91"/>
      <c r="T9" s="91"/>
      <c r="U9" s="91"/>
      <c r="V9" s="91"/>
      <c r="W9" s="91"/>
      <c r="X9" s="291">
        <f>BU9</f>
        <v>32329</v>
      </c>
      <c r="Y9" s="292"/>
      <c r="Z9" s="305" t="s">
        <v>224</v>
      </c>
      <c r="AA9" s="88">
        <v>43.71</v>
      </c>
      <c r="AB9" s="306">
        <v>23383</v>
      </c>
      <c r="AC9" s="307"/>
      <c r="AD9" s="308">
        <v>25.44</v>
      </c>
      <c r="AE9" s="308"/>
      <c r="AF9" s="308"/>
      <c r="AG9" s="308"/>
      <c r="AH9" s="308"/>
      <c r="AI9" s="308"/>
      <c r="AJ9" s="308"/>
      <c r="AK9" s="309"/>
      <c r="AL9" s="307"/>
      <c r="AM9" s="308">
        <v>33</v>
      </c>
      <c r="AN9" s="308"/>
      <c r="AO9" s="308"/>
      <c r="AP9" s="308"/>
      <c r="AQ9" s="308"/>
      <c r="AR9" s="308"/>
      <c r="AS9" s="308"/>
      <c r="AT9" s="309">
        <v>25789</v>
      </c>
      <c r="AU9" s="298"/>
      <c r="AV9" s="298">
        <f t="shared" ref="AV9:AV22" si="2">AD9+AM9</f>
        <v>58.44</v>
      </c>
      <c r="AW9" s="298"/>
      <c r="AX9" s="298"/>
      <c r="AY9" s="298"/>
      <c r="AZ9" s="298"/>
      <c r="BA9" s="298"/>
      <c r="BB9" s="298"/>
      <c r="BC9" s="310"/>
      <c r="BD9" s="307"/>
      <c r="BE9" s="308">
        <v>15</v>
      </c>
      <c r="BF9" s="308"/>
      <c r="BG9" s="308"/>
      <c r="BH9" s="308"/>
      <c r="BI9" s="308"/>
      <c r="BJ9" s="308"/>
      <c r="BK9" s="308"/>
      <c r="BL9" s="309"/>
      <c r="BM9" s="307"/>
      <c r="BN9" s="308">
        <v>26</v>
      </c>
      <c r="BO9" s="308"/>
      <c r="BP9" s="308"/>
      <c r="BQ9" s="308"/>
      <c r="BR9" s="308"/>
      <c r="BS9" s="308"/>
      <c r="BT9" s="308"/>
      <c r="BU9" s="311">
        <v>32329</v>
      </c>
      <c r="BV9" s="312"/>
      <c r="BW9" s="313">
        <f t="shared" si="0"/>
        <v>41</v>
      </c>
      <c r="BX9" s="313"/>
      <c r="BY9" s="313"/>
      <c r="BZ9" s="313"/>
      <c r="CA9" s="313"/>
      <c r="CB9" s="313"/>
      <c r="CC9" s="313"/>
      <c r="CD9" s="314"/>
      <c r="CE9" s="301" t="str">
        <f t="shared" si="1"/>
        <v>komunalne publiczne</v>
      </c>
      <c r="CF9" s="302"/>
    </row>
    <row r="10" spans="1:84" s="303" customFormat="1" ht="12.75" customHeight="1">
      <c r="A10" s="70" t="s">
        <v>229</v>
      </c>
      <c r="B10" s="70" t="s">
        <v>43</v>
      </c>
      <c r="C10" s="70">
        <v>1</v>
      </c>
      <c r="D10" s="70"/>
      <c r="E10" s="70" t="s">
        <v>215</v>
      </c>
      <c r="F10" s="289" t="s">
        <v>230</v>
      </c>
      <c r="G10" s="290"/>
      <c r="H10" s="315">
        <v>34.31</v>
      </c>
      <c r="I10" s="91"/>
      <c r="J10" s="91"/>
      <c r="K10" s="91"/>
      <c r="L10" s="91"/>
      <c r="M10" s="91"/>
      <c r="N10" s="91"/>
      <c r="O10" s="291">
        <f t="shared" ref="O10:O19" si="3">AB10</f>
        <v>4692</v>
      </c>
      <c r="P10" s="290"/>
      <c r="Q10" s="91">
        <v>28</v>
      </c>
      <c r="R10" s="91"/>
      <c r="S10" s="91"/>
      <c r="T10" s="91"/>
      <c r="U10" s="91"/>
      <c r="V10" s="91"/>
      <c r="W10" s="91"/>
      <c r="X10" s="291">
        <f>O10+O10*11%</f>
        <v>5208.12</v>
      </c>
      <c r="Y10" s="292"/>
      <c r="Z10" s="305" t="s">
        <v>231</v>
      </c>
      <c r="AA10" s="88">
        <v>34.31</v>
      </c>
      <c r="AB10" s="306">
        <v>4692</v>
      </c>
      <c r="AC10" s="316"/>
      <c r="AD10" s="317"/>
      <c r="AE10" s="317"/>
      <c r="AF10" s="317"/>
      <c r="AG10" s="317"/>
      <c r="AH10" s="317"/>
      <c r="AI10" s="317"/>
      <c r="AJ10" s="317"/>
      <c r="AK10" s="309"/>
      <c r="AL10" s="316"/>
      <c r="AM10" s="317"/>
      <c r="AN10" s="317"/>
      <c r="AO10" s="317"/>
      <c r="AP10" s="317"/>
      <c r="AQ10" s="317"/>
      <c r="AR10" s="317"/>
      <c r="AS10" s="317"/>
      <c r="AT10" s="309"/>
      <c r="AU10" s="298"/>
      <c r="AV10" s="298"/>
      <c r="AW10" s="298"/>
      <c r="AX10" s="298"/>
      <c r="AY10" s="298"/>
      <c r="AZ10" s="298"/>
      <c r="BA10" s="298"/>
      <c r="BB10" s="298"/>
      <c r="BC10" s="310"/>
      <c r="BD10" s="316"/>
      <c r="BE10" s="317"/>
      <c r="BF10" s="317"/>
      <c r="BG10" s="317"/>
      <c r="BH10" s="317"/>
      <c r="BI10" s="317"/>
      <c r="BJ10" s="317"/>
      <c r="BK10" s="317"/>
      <c r="BL10" s="309"/>
      <c r="BM10" s="316"/>
      <c r="BN10" s="317"/>
      <c r="BO10" s="317"/>
      <c r="BP10" s="317"/>
      <c r="BQ10" s="317"/>
      <c r="BR10" s="317"/>
      <c r="BS10" s="317"/>
      <c r="BT10" s="317"/>
      <c r="BU10" s="311"/>
      <c r="BV10" s="312"/>
      <c r="BW10" s="313"/>
      <c r="BX10" s="313"/>
      <c r="BY10" s="313"/>
      <c r="BZ10" s="313"/>
      <c r="CA10" s="313"/>
      <c r="CB10" s="313"/>
      <c r="CC10" s="313"/>
      <c r="CD10" s="314"/>
      <c r="CE10" s="301" t="str">
        <f t="shared" si="1"/>
        <v>komunalne publiczne</v>
      </c>
      <c r="CF10" s="302"/>
    </row>
    <row r="11" spans="1:84" s="303" customFormat="1" ht="12.75" customHeight="1">
      <c r="A11" s="70" t="s">
        <v>232</v>
      </c>
      <c r="B11" s="70" t="s">
        <v>43</v>
      </c>
      <c r="C11" s="70">
        <v>1</v>
      </c>
      <c r="D11" s="70"/>
      <c r="E11" s="70" t="s">
        <v>215</v>
      </c>
      <c r="F11" s="289" t="s">
        <v>233</v>
      </c>
      <c r="G11" s="290"/>
      <c r="H11" s="315">
        <v>30.71</v>
      </c>
      <c r="I11" s="91"/>
      <c r="J11" s="91">
        <v>2</v>
      </c>
      <c r="K11" s="91"/>
      <c r="L11" s="91"/>
      <c r="M11" s="91"/>
      <c r="N11" s="91"/>
      <c r="O11" s="291">
        <f t="shared" si="3"/>
        <v>3750</v>
      </c>
      <c r="P11" s="290"/>
      <c r="Q11" s="91">
        <v>24</v>
      </c>
      <c r="R11" s="91"/>
      <c r="S11" s="91">
        <v>3</v>
      </c>
      <c r="T11" s="91"/>
      <c r="U11" s="91"/>
      <c r="V11" s="91"/>
      <c r="W11" s="91"/>
      <c r="X11" s="291">
        <f>O11+O11*11%</f>
        <v>4162.5</v>
      </c>
      <c r="Y11" s="292"/>
      <c r="Z11" s="305" t="s">
        <v>231</v>
      </c>
      <c r="AA11" s="88">
        <v>59.93</v>
      </c>
      <c r="AB11" s="306">
        <v>3750</v>
      </c>
      <c r="AC11" s="307"/>
      <c r="AD11" s="308">
        <f>4.14+12.3+3</f>
        <v>19.440000000000001</v>
      </c>
      <c r="AE11" s="308"/>
      <c r="AF11" s="308">
        <v>1</v>
      </c>
      <c r="AG11" s="308"/>
      <c r="AH11" s="308"/>
      <c r="AI11" s="308"/>
      <c r="AJ11" s="308"/>
      <c r="AK11" s="309"/>
      <c r="AL11" s="307"/>
      <c r="AM11" s="308">
        <f>3.57+7.7</f>
        <v>11.27</v>
      </c>
      <c r="AN11" s="308"/>
      <c r="AO11" s="308">
        <v>1</v>
      </c>
      <c r="AP11" s="308"/>
      <c r="AQ11" s="308"/>
      <c r="AR11" s="308"/>
      <c r="AS11" s="308"/>
      <c r="AT11" s="309"/>
      <c r="AU11" s="298"/>
      <c r="AV11" s="298">
        <f t="shared" si="2"/>
        <v>30.71</v>
      </c>
      <c r="AW11" s="298"/>
      <c r="AX11" s="298">
        <f t="shared" ref="AX11:AX12" si="4">AF11+AO11</f>
        <v>2</v>
      </c>
      <c r="AY11" s="298"/>
      <c r="AZ11" s="298"/>
      <c r="BA11" s="298"/>
      <c r="BB11" s="298"/>
      <c r="BC11" s="310"/>
      <c r="BD11" s="307"/>
      <c r="BE11" s="308">
        <f>1+10.5</f>
        <v>11.5</v>
      </c>
      <c r="BF11" s="308"/>
      <c r="BG11" s="308">
        <v>1.5</v>
      </c>
      <c r="BH11" s="308"/>
      <c r="BI11" s="308"/>
      <c r="BJ11" s="308"/>
      <c r="BK11" s="308"/>
      <c r="BL11" s="309"/>
      <c r="BM11" s="307"/>
      <c r="BN11" s="308">
        <f>3.5+9</f>
        <v>12.5</v>
      </c>
      <c r="BO11" s="308"/>
      <c r="BP11" s="308">
        <v>1.5</v>
      </c>
      <c r="BQ11" s="308"/>
      <c r="BR11" s="308"/>
      <c r="BS11" s="308"/>
      <c r="BT11" s="308"/>
      <c r="BU11" s="311"/>
      <c r="BV11" s="312"/>
      <c r="BW11" s="313">
        <f t="shared" si="0"/>
        <v>24</v>
      </c>
      <c r="BX11" s="313"/>
      <c r="BY11" s="313">
        <f t="shared" ref="BY11:BY12" si="5">BG11+BP11</f>
        <v>3</v>
      </c>
      <c r="BZ11" s="313"/>
      <c r="CA11" s="313"/>
      <c r="CB11" s="313"/>
      <c r="CC11" s="313"/>
      <c r="CD11" s="314"/>
      <c r="CE11" s="301" t="str">
        <f t="shared" si="1"/>
        <v>komunalne publiczne</v>
      </c>
      <c r="CF11" s="302"/>
    </row>
    <row r="12" spans="1:84" s="303" customFormat="1" ht="12.75" customHeight="1">
      <c r="A12" s="70" t="s">
        <v>232</v>
      </c>
      <c r="B12" s="70" t="s">
        <v>49</v>
      </c>
      <c r="C12" s="70">
        <v>40</v>
      </c>
      <c r="D12" s="70"/>
      <c r="E12" s="70" t="s">
        <v>215</v>
      </c>
      <c r="F12" s="289" t="s">
        <v>234</v>
      </c>
      <c r="G12" s="290"/>
      <c r="H12" s="315">
        <v>25.52</v>
      </c>
      <c r="I12" s="91"/>
      <c r="J12" s="91">
        <v>1.5</v>
      </c>
      <c r="K12" s="91"/>
      <c r="L12" s="91"/>
      <c r="M12" s="91"/>
      <c r="N12" s="91"/>
      <c r="O12" s="291">
        <f t="shared" si="3"/>
        <v>550</v>
      </c>
      <c r="P12" s="290"/>
      <c r="Q12" s="91">
        <v>17.5</v>
      </c>
      <c r="R12" s="91"/>
      <c r="S12" s="91">
        <v>3</v>
      </c>
      <c r="T12" s="91"/>
      <c r="U12" s="91"/>
      <c r="V12" s="91"/>
      <c r="W12" s="91"/>
      <c r="X12" s="291">
        <f t="shared" ref="X12:X18" si="6">O12+O12*11%</f>
        <v>610.5</v>
      </c>
      <c r="Y12" s="292"/>
      <c r="Z12" s="305" t="s">
        <v>231</v>
      </c>
      <c r="AA12" s="88">
        <v>28.84</v>
      </c>
      <c r="AB12" s="306">
        <v>550</v>
      </c>
      <c r="AC12" s="316"/>
      <c r="AD12" s="317">
        <f>1.72+15.6</f>
        <v>17.32</v>
      </c>
      <c r="AE12" s="317"/>
      <c r="AF12" s="317">
        <v>0.2</v>
      </c>
      <c r="AG12" s="317"/>
      <c r="AH12" s="317"/>
      <c r="AI12" s="317"/>
      <c r="AJ12" s="317"/>
      <c r="AK12" s="309"/>
      <c r="AL12" s="316"/>
      <c r="AM12" s="317">
        <f>1.5+6.7</f>
        <v>8.1999999999999993</v>
      </c>
      <c r="AN12" s="317"/>
      <c r="AO12" s="317">
        <v>1.3</v>
      </c>
      <c r="AP12" s="317"/>
      <c r="AQ12" s="317"/>
      <c r="AR12" s="317"/>
      <c r="AS12" s="317"/>
      <c r="AT12" s="309"/>
      <c r="AU12" s="298"/>
      <c r="AV12" s="298">
        <f t="shared" si="2"/>
        <v>25.52</v>
      </c>
      <c r="AW12" s="298"/>
      <c r="AX12" s="298">
        <f t="shared" si="4"/>
        <v>1.5</v>
      </c>
      <c r="AY12" s="298"/>
      <c r="AZ12" s="298"/>
      <c r="BA12" s="298"/>
      <c r="BB12" s="298"/>
      <c r="BC12" s="310"/>
      <c r="BD12" s="316"/>
      <c r="BE12" s="317">
        <f>1.5+9</f>
        <v>10.5</v>
      </c>
      <c r="BF12" s="317"/>
      <c r="BG12" s="308">
        <v>1.5</v>
      </c>
      <c r="BH12" s="317"/>
      <c r="BI12" s="317"/>
      <c r="BJ12" s="317"/>
      <c r="BK12" s="317"/>
      <c r="BL12" s="309"/>
      <c r="BM12" s="316"/>
      <c r="BN12" s="317">
        <f>2+5</f>
        <v>7</v>
      </c>
      <c r="BO12" s="317"/>
      <c r="BP12" s="308">
        <v>1.5</v>
      </c>
      <c r="BQ12" s="317"/>
      <c r="BR12" s="317"/>
      <c r="BS12" s="317"/>
      <c r="BT12" s="317"/>
      <c r="BU12" s="311"/>
      <c r="BV12" s="312"/>
      <c r="BW12" s="313">
        <f t="shared" si="0"/>
        <v>17.5</v>
      </c>
      <c r="BX12" s="313"/>
      <c r="BY12" s="313">
        <f t="shared" si="5"/>
        <v>3</v>
      </c>
      <c r="BZ12" s="313"/>
      <c r="CA12" s="313"/>
      <c r="CB12" s="313"/>
      <c r="CC12" s="313"/>
      <c r="CD12" s="314"/>
      <c r="CE12" s="301" t="str">
        <f t="shared" si="1"/>
        <v>komunalne publiczne</v>
      </c>
      <c r="CF12" s="302"/>
    </row>
    <row r="13" spans="1:84" s="303" customFormat="1" ht="12.75" customHeight="1">
      <c r="A13" s="70" t="s">
        <v>229</v>
      </c>
      <c r="B13" s="70" t="s">
        <v>65</v>
      </c>
      <c r="C13" s="70"/>
      <c r="D13" s="70"/>
      <c r="E13" s="70" t="s">
        <v>215</v>
      </c>
      <c r="F13" s="318" t="s">
        <v>235</v>
      </c>
      <c r="G13" s="290"/>
      <c r="H13" s="315">
        <v>6.38</v>
      </c>
      <c r="I13" s="91"/>
      <c r="J13" s="91"/>
      <c r="K13" s="91"/>
      <c r="L13" s="91"/>
      <c r="M13" s="91"/>
      <c r="N13" s="91"/>
      <c r="O13" s="291">
        <f t="shared" si="3"/>
        <v>2929</v>
      </c>
      <c r="P13" s="290"/>
      <c r="Q13" s="91">
        <v>6.38</v>
      </c>
      <c r="R13" s="91"/>
      <c r="S13" s="91"/>
      <c r="T13" s="91"/>
      <c r="U13" s="91"/>
      <c r="V13" s="91"/>
      <c r="W13" s="91"/>
      <c r="X13" s="291">
        <f t="shared" si="6"/>
        <v>3251.19</v>
      </c>
      <c r="Y13" s="292"/>
      <c r="Z13" s="305" t="s">
        <v>224</v>
      </c>
      <c r="AA13" s="88">
        <v>6.38</v>
      </c>
      <c r="AB13" s="306">
        <v>2929</v>
      </c>
      <c r="AC13" s="316"/>
      <c r="AD13" s="317"/>
      <c r="AE13" s="317"/>
      <c r="AF13" s="317"/>
      <c r="AG13" s="317"/>
      <c r="AH13" s="317"/>
      <c r="AI13" s="317"/>
      <c r="AJ13" s="317"/>
      <c r="AK13" s="309"/>
      <c r="AL13" s="316"/>
      <c r="AM13" s="317"/>
      <c r="AN13" s="317"/>
      <c r="AO13" s="317"/>
      <c r="AP13" s="317"/>
      <c r="AQ13" s="317"/>
      <c r="AR13" s="317"/>
      <c r="AS13" s="317"/>
      <c r="AT13" s="309"/>
      <c r="AU13" s="298"/>
      <c r="AV13" s="298"/>
      <c r="AW13" s="298"/>
      <c r="AX13" s="298"/>
      <c r="AY13" s="298"/>
      <c r="AZ13" s="298"/>
      <c r="BA13" s="298"/>
      <c r="BB13" s="298"/>
      <c r="BC13" s="310"/>
      <c r="BD13" s="316"/>
      <c r="BE13" s="317"/>
      <c r="BF13" s="317"/>
      <c r="BG13" s="317"/>
      <c r="BH13" s="317"/>
      <c r="BI13" s="317"/>
      <c r="BJ13" s="317"/>
      <c r="BK13" s="317"/>
      <c r="BL13" s="309"/>
      <c r="BM13" s="316"/>
      <c r="BN13" s="317"/>
      <c r="BO13" s="317"/>
      <c r="BP13" s="317"/>
      <c r="BQ13" s="317"/>
      <c r="BR13" s="317"/>
      <c r="BS13" s="317"/>
      <c r="BT13" s="317"/>
      <c r="BU13" s="311"/>
      <c r="BV13" s="312"/>
      <c r="BW13" s="313"/>
      <c r="BX13" s="313"/>
      <c r="BY13" s="313"/>
      <c r="BZ13" s="313"/>
      <c r="CA13" s="313"/>
      <c r="CB13" s="313"/>
      <c r="CC13" s="313"/>
      <c r="CD13" s="314"/>
      <c r="CE13" s="301" t="str">
        <f t="shared" si="1"/>
        <v>komunalne publiczne</v>
      </c>
      <c r="CF13" s="302"/>
    </row>
    <row r="14" spans="1:84" s="303" customFormat="1" ht="12.75" customHeight="1">
      <c r="A14" s="70" t="s">
        <v>236</v>
      </c>
      <c r="B14" s="70" t="s">
        <v>53</v>
      </c>
      <c r="C14" s="70">
        <v>24</v>
      </c>
      <c r="D14" s="70"/>
      <c r="E14" s="70" t="s">
        <v>215</v>
      </c>
      <c r="F14" s="289" t="s">
        <v>237</v>
      </c>
      <c r="G14" s="290"/>
      <c r="H14" s="315">
        <v>8.5</v>
      </c>
      <c r="I14" s="91"/>
      <c r="J14" s="91"/>
      <c r="K14" s="91"/>
      <c r="L14" s="91"/>
      <c r="M14" s="91"/>
      <c r="N14" s="91"/>
      <c r="O14" s="291">
        <f t="shared" si="3"/>
        <v>1050</v>
      </c>
      <c r="P14" s="290"/>
      <c r="Q14" s="91">
        <v>8.5</v>
      </c>
      <c r="R14" s="91"/>
      <c r="S14" s="91"/>
      <c r="T14" s="91"/>
      <c r="U14" s="91"/>
      <c r="V14" s="91"/>
      <c r="W14" s="91"/>
      <c r="X14" s="291">
        <f t="shared" si="6"/>
        <v>1165.5</v>
      </c>
      <c r="Y14" s="292"/>
      <c r="Z14" s="305" t="s">
        <v>231</v>
      </c>
      <c r="AA14" s="88">
        <v>36.25</v>
      </c>
      <c r="AB14" s="306">
        <v>1050</v>
      </c>
      <c r="AC14" s="307"/>
      <c r="AD14" s="308">
        <v>5</v>
      </c>
      <c r="AE14" s="308"/>
      <c r="AF14" s="308"/>
      <c r="AG14" s="308"/>
      <c r="AH14" s="308"/>
      <c r="AI14" s="308"/>
      <c r="AJ14" s="308"/>
      <c r="AK14" s="309"/>
      <c r="AL14" s="307"/>
      <c r="AM14" s="308">
        <v>3.5</v>
      </c>
      <c r="AN14" s="308"/>
      <c r="AO14" s="308"/>
      <c r="AP14" s="308"/>
      <c r="AQ14" s="308"/>
      <c r="AR14" s="308"/>
      <c r="AS14" s="308"/>
      <c r="AT14" s="309"/>
      <c r="AU14" s="298"/>
      <c r="AV14" s="298">
        <f t="shared" si="2"/>
        <v>8.5</v>
      </c>
      <c r="AW14" s="298"/>
      <c r="AX14" s="298"/>
      <c r="AY14" s="298"/>
      <c r="AZ14" s="298"/>
      <c r="BA14" s="298"/>
      <c r="BB14" s="298"/>
      <c r="BC14" s="310"/>
      <c r="BD14" s="307"/>
      <c r="BE14" s="308">
        <v>3.5</v>
      </c>
      <c r="BF14" s="308"/>
      <c r="BG14" s="308"/>
      <c r="BH14" s="308"/>
      <c r="BI14" s="308"/>
      <c r="BJ14" s="308"/>
      <c r="BK14" s="308"/>
      <c r="BL14" s="309"/>
      <c r="BM14" s="307"/>
      <c r="BN14" s="308">
        <v>5</v>
      </c>
      <c r="BO14" s="308"/>
      <c r="BP14" s="308"/>
      <c r="BQ14" s="308"/>
      <c r="BR14" s="308"/>
      <c r="BS14" s="308"/>
      <c r="BT14" s="308"/>
      <c r="BU14" s="311"/>
      <c r="BV14" s="312"/>
      <c r="BW14" s="313">
        <f t="shared" si="0"/>
        <v>8.5</v>
      </c>
      <c r="BX14" s="313"/>
      <c r="BY14" s="313"/>
      <c r="BZ14" s="313"/>
      <c r="CA14" s="313"/>
      <c r="CB14" s="313"/>
      <c r="CC14" s="313"/>
      <c r="CD14" s="314"/>
      <c r="CE14" s="301" t="str">
        <f t="shared" si="1"/>
        <v>komunalne publiczne</v>
      </c>
      <c r="CF14" s="302"/>
    </row>
    <row r="15" spans="1:84" s="303" customFormat="1" ht="12.75" customHeight="1">
      <c r="A15" s="70" t="s">
        <v>154</v>
      </c>
      <c r="B15" s="70" t="s">
        <v>238</v>
      </c>
      <c r="C15" s="70">
        <v>35</v>
      </c>
      <c r="D15" s="70"/>
      <c r="E15" s="70" t="s">
        <v>215</v>
      </c>
      <c r="F15" s="289" t="s">
        <v>239</v>
      </c>
      <c r="G15" s="290"/>
      <c r="H15" s="315">
        <v>6.5</v>
      </c>
      <c r="I15" s="91"/>
      <c r="J15" s="91"/>
      <c r="K15" s="91"/>
      <c r="L15" s="91"/>
      <c r="M15" s="91"/>
      <c r="N15" s="91"/>
      <c r="O15" s="291">
        <f t="shared" si="3"/>
        <v>869</v>
      </c>
      <c r="P15" s="290"/>
      <c r="Q15" s="91">
        <v>5.1999999999999993</v>
      </c>
      <c r="R15" s="91"/>
      <c r="S15" s="91"/>
      <c r="T15" s="91"/>
      <c r="U15" s="91"/>
      <c r="V15" s="91"/>
      <c r="W15" s="91"/>
      <c r="X15" s="291">
        <f t="shared" si="6"/>
        <v>964.59</v>
      </c>
      <c r="Y15" s="292"/>
      <c r="Z15" s="305" t="s">
        <v>224</v>
      </c>
      <c r="AA15" s="88">
        <v>11.2</v>
      </c>
      <c r="AB15" s="306">
        <v>869</v>
      </c>
      <c r="AC15" s="307"/>
      <c r="AD15" s="308">
        <v>4</v>
      </c>
      <c r="AE15" s="308"/>
      <c r="AF15" s="308"/>
      <c r="AG15" s="308"/>
      <c r="AH15" s="308"/>
      <c r="AI15" s="308"/>
      <c r="AJ15" s="308"/>
      <c r="AK15" s="309"/>
      <c r="AL15" s="307"/>
      <c r="AM15" s="308">
        <v>2.5</v>
      </c>
      <c r="AN15" s="308"/>
      <c r="AO15" s="308"/>
      <c r="AP15" s="308"/>
      <c r="AQ15" s="308"/>
      <c r="AR15" s="308"/>
      <c r="AS15" s="308"/>
      <c r="AT15" s="309"/>
      <c r="AU15" s="298"/>
      <c r="AV15" s="298">
        <f t="shared" si="2"/>
        <v>6.5</v>
      </c>
      <c r="AW15" s="298"/>
      <c r="AX15" s="298"/>
      <c r="AY15" s="298"/>
      <c r="AZ15" s="298"/>
      <c r="BA15" s="298"/>
      <c r="BB15" s="298"/>
      <c r="BC15" s="310"/>
      <c r="BD15" s="307"/>
      <c r="BE15" s="308">
        <v>2</v>
      </c>
      <c r="BF15" s="308"/>
      <c r="BG15" s="308"/>
      <c r="BH15" s="308"/>
      <c r="BI15" s="308"/>
      <c r="BJ15" s="308"/>
      <c r="BK15" s="308"/>
      <c r="BL15" s="309"/>
      <c r="BM15" s="307"/>
      <c r="BN15" s="308">
        <f>2.3+(30*30/1000)</f>
        <v>3.1999999999999997</v>
      </c>
      <c r="BO15" s="308"/>
      <c r="BP15" s="308"/>
      <c r="BQ15" s="308"/>
      <c r="BR15" s="308"/>
      <c r="BS15" s="308"/>
      <c r="BT15" s="308"/>
      <c r="BU15" s="311"/>
      <c r="BV15" s="312"/>
      <c r="BW15" s="313">
        <f t="shared" si="0"/>
        <v>5.1999999999999993</v>
      </c>
      <c r="BX15" s="313"/>
      <c r="BY15" s="313"/>
      <c r="BZ15" s="313"/>
      <c r="CA15" s="313"/>
      <c r="CB15" s="313"/>
      <c r="CC15" s="313"/>
      <c r="CD15" s="314"/>
      <c r="CE15" s="301" t="str">
        <f t="shared" si="1"/>
        <v>komunalne publiczne</v>
      </c>
      <c r="CF15" s="302"/>
    </row>
    <row r="16" spans="1:84" s="303" customFormat="1" ht="12.75" customHeight="1">
      <c r="A16" s="70" t="s">
        <v>42</v>
      </c>
      <c r="B16" s="70" t="s">
        <v>99</v>
      </c>
      <c r="C16" s="70"/>
      <c r="D16" s="70" t="s">
        <v>44</v>
      </c>
      <c r="E16" s="70" t="s">
        <v>215</v>
      </c>
      <c r="F16" s="289" t="s">
        <v>240</v>
      </c>
      <c r="G16" s="290"/>
      <c r="H16" s="315">
        <v>7</v>
      </c>
      <c r="I16" s="91"/>
      <c r="J16" s="91"/>
      <c r="K16" s="91"/>
      <c r="L16" s="91"/>
      <c r="M16" s="91"/>
      <c r="N16" s="91"/>
      <c r="O16" s="291">
        <f t="shared" si="3"/>
        <v>3175</v>
      </c>
      <c r="P16" s="290"/>
      <c r="Q16" s="91">
        <v>7</v>
      </c>
      <c r="R16" s="91"/>
      <c r="S16" s="91"/>
      <c r="T16" s="91"/>
      <c r="U16" s="91"/>
      <c r="V16" s="91"/>
      <c r="W16" s="91"/>
      <c r="X16" s="291">
        <f t="shared" si="6"/>
        <v>3524.25</v>
      </c>
      <c r="Y16" s="292"/>
      <c r="Z16" s="305" t="s">
        <v>224</v>
      </c>
      <c r="AA16" s="88">
        <v>17.940000000000001</v>
      </c>
      <c r="AB16" s="306">
        <v>3175</v>
      </c>
      <c r="AC16" s="307"/>
      <c r="AD16" s="308">
        <v>5</v>
      </c>
      <c r="AE16" s="308"/>
      <c r="AF16" s="308"/>
      <c r="AG16" s="308"/>
      <c r="AH16" s="308"/>
      <c r="AI16" s="308"/>
      <c r="AJ16" s="308"/>
      <c r="AK16" s="309"/>
      <c r="AL16" s="307"/>
      <c r="AM16" s="308">
        <v>2</v>
      </c>
      <c r="AN16" s="308"/>
      <c r="AO16" s="308"/>
      <c r="AP16" s="308"/>
      <c r="AQ16" s="308"/>
      <c r="AR16" s="308"/>
      <c r="AS16" s="308"/>
      <c r="AT16" s="309"/>
      <c r="AU16" s="298"/>
      <c r="AV16" s="298">
        <f t="shared" si="2"/>
        <v>7</v>
      </c>
      <c r="AW16" s="298"/>
      <c r="AX16" s="298"/>
      <c r="AY16" s="298"/>
      <c r="AZ16" s="298"/>
      <c r="BA16" s="298"/>
      <c r="BB16" s="298"/>
      <c r="BC16" s="310"/>
      <c r="BD16" s="307"/>
      <c r="BE16" s="308">
        <v>2</v>
      </c>
      <c r="BF16" s="308"/>
      <c r="BG16" s="308"/>
      <c r="BH16" s="308"/>
      <c r="BI16" s="308"/>
      <c r="BJ16" s="308"/>
      <c r="BK16" s="308"/>
      <c r="BL16" s="309"/>
      <c r="BM16" s="307"/>
      <c r="BN16" s="308">
        <v>5</v>
      </c>
      <c r="BO16" s="308"/>
      <c r="BP16" s="308"/>
      <c r="BQ16" s="308"/>
      <c r="BR16" s="308"/>
      <c r="BS16" s="308"/>
      <c r="BT16" s="308"/>
      <c r="BU16" s="311"/>
      <c r="BV16" s="312"/>
      <c r="BW16" s="313">
        <f t="shared" si="0"/>
        <v>7</v>
      </c>
      <c r="BX16" s="313"/>
      <c r="BY16" s="313"/>
      <c r="BZ16" s="313"/>
      <c r="CA16" s="313"/>
      <c r="CB16" s="313"/>
      <c r="CC16" s="313"/>
      <c r="CD16" s="314"/>
      <c r="CE16" s="301" t="str">
        <f t="shared" si="1"/>
        <v>komunalne publiczne</v>
      </c>
      <c r="CF16" s="302"/>
    </row>
    <row r="17" spans="1:84" s="303" customFormat="1" ht="12.75" customHeight="1">
      <c r="A17" s="70" t="s">
        <v>52</v>
      </c>
      <c r="B17" s="70" t="s">
        <v>53</v>
      </c>
      <c r="C17" s="70">
        <v>60</v>
      </c>
      <c r="D17" s="70"/>
      <c r="E17" s="70" t="s">
        <v>215</v>
      </c>
      <c r="F17" s="289" t="s">
        <v>241</v>
      </c>
      <c r="G17" s="290"/>
      <c r="H17" s="315">
        <v>28.4</v>
      </c>
      <c r="I17" s="91"/>
      <c r="J17" s="91"/>
      <c r="K17" s="91"/>
      <c r="L17" s="91"/>
      <c r="M17" s="91"/>
      <c r="N17" s="91"/>
      <c r="O17" s="291">
        <f t="shared" si="3"/>
        <v>2993</v>
      </c>
      <c r="P17" s="290"/>
      <c r="Q17" s="91">
        <v>25</v>
      </c>
      <c r="R17" s="91"/>
      <c r="S17" s="91"/>
      <c r="T17" s="91"/>
      <c r="U17" s="91"/>
      <c r="V17" s="91"/>
      <c r="W17" s="91"/>
      <c r="X17" s="291">
        <f t="shared" si="6"/>
        <v>3322.23</v>
      </c>
      <c r="Y17" s="292"/>
      <c r="Z17" s="305" t="s">
        <v>231</v>
      </c>
      <c r="AA17" s="88">
        <v>28.4</v>
      </c>
      <c r="AB17" s="306">
        <v>2993</v>
      </c>
      <c r="AC17" s="316"/>
      <c r="AD17" s="317"/>
      <c r="AE17" s="317"/>
      <c r="AF17" s="317"/>
      <c r="AG17" s="317"/>
      <c r="AH17" s="317"/>
      <c r="AI17" s="317"/>
      <c r="AJ17" s="317"/>
      <c r="AK17" s="309"/>
      <c r="AL17" s="316"/>
      <c r="AM17" s="317"/>
      <c r="AN17" s="317"/>
      <c r="AO17" s="317"/>
      <c r="AP17" s="317"/>
      <c r="AQ17" s="317"/>
      <c r="AR17" s="317"/>
      <c r="AS17" s="317"/>
      <c r="AT17" s="309"/>
      <c r="AU17" s="298"/>
      <c r="AV17" s="298"/>
      <c r="AW17" s="298"/>
      <c r="AX17" s="298"/>
      <c r="AY17" s="298"/>
      <c r="AZ17" s="298"/>
      <c r="BA17" s="298"/>
      <c r="BB17" s="298"/>
      <c r="BC17" s="310"/>
      <c r="BD17" s="316"/>
      <c r="BE17" s="317"/>
      <c r="BF17" s="317"/>
      <c r="BG17" s="317"/>
      <c r="BH17" s="317"/>
      <c r="BI17" s="317"/>
      <c r="BJ17" s="317"/>
      <c r="BK17" s="317"/>
      <c r="BL17" s="309"/>
      <c r="BM17" s="316"/>
      <c r="BN17" s="317"/>
      <c r="BO17" s="317"/>
      <c r="BP17" s="317"/>
      <c r="BQ17" s="317"/>
      <c r="BR17" s="317"/>
      <c r="BS17" s="317"/>
      <c r="BT17" s="317"/>
      <c r="BU17" s="311"/>
      <c r="BV17" s="312"/>
      <c r="BW17" s="313"/>
      <c r="BX17" s="313"/>
      <c r="BY17" s="313"/>
      <c r="BZ17" s="313"/>
      <c r="CA17" s="313"/>
      <c r="CB17" s="313"/>
      <c r="CC17" s="313"/>
      <c r="CD17" s="314"/>
      <c r="CE17" s="301" t="str">
        <f t="shared" si="1"/>
        <v>komunalne publiczne</v>
      </c>
      <c r="CF17" s="302"/>
    </row>
    <row r="18" spans="1:84" s="303" customFormat="1" ht="12.75" customHeight="1">
      <c r="A18" s="70" t="s">
        <v>42</v>
      </c>
      <c r="B18" s="70" t="s">
        <v>65</v>
      </c>
      <c r="C18" s="70">
        <v>15</v>
      </c>
      <c r="D18" s="70" t="s">
        <v>44</v>
      </c>
      <c r="E18" s="70" t="s">
        <v>215</v>
      </c>
      <c r="F18" s="289" t="s">
        <v>242</v>
      </c>
      <c r="G18" s="290"/>
      <c r="H18" s="315">
        <v>34.74</v>
      </c>
      <c r="I18" s="91"/>
      <c r="J18" s="91"/>
      <c r="K18" s="91"/>
      <c r="L18" s="91"/>
      <c r="M18" s="91"/>
      <c r="N18" s="91"/>
      <c r="O18" s="291">
        <f t="shared" si="3"/>
        <v>15343</v>
      </c>
      <c r="P18" s="290"/>
      <c r="Q18" s="91">
        <v>29</v>
      </c>
      <c r="R18" s="91"/>
      <c r="S18" s="91"/>
      <c r="T18" s="91"/>
      <c r="U18" s="91"/>
      <c r="V18" s="91"/>
      <c r="W18" s="91"/>
      <c r="X18" s="291">
        <f t="shared" si="6"/>
        <v>17030.73</v>
      </c>
      <c r="Y18" s="292"/>
      <c r="Z18" s="305" t="s">
        <v>224</v>
      </c>
      <c r="AA18" s="88">
        <v>34.74</v>
      </c>
      <c r="AB18" s="306">
        <v>15343</v>
      </c>
      <c r="AC18" s="316"/>
      <c r="AD18" s="317"/>
      <c r="AE18" s="317"/>
      <c r="AF18" s="317"/>
      <c r="AG18" s="317"/>
      <c r="AH18" s="317"/>
      <c r="AI18" s="317"/>
      <c r="AJ18" s="317"/>
      <c r="AK18" s="309"/>
      <c r="AL18" s="316"/>
      <c r="AM18" s="317"/>
      <c r="AN18" s="317"/>
      <c r="AO18" s="317"/>
      <c r="AP18" s="317"/>
      <c r="AQ18" s="317"/>
      <c r="AR18" s="317"/>
      <c r="AS18" s="317"/>
      <c r="AT18" s="309"/>
      <c r="AU18" s="298"/>
      <c r="AV18" s="298"/>
      <c r="AW18" s="298"/>
      <c r="AX18" s="298"/>
      <c r="AY18" s="298"/>
      <c r="AZ18" s="298"/>
      <c r="BA18" s="298"/>
      <c r="BB18" s="298"/>
      <c r="BC18" s="310"/>
      <c r="BD18" s="316"/>
      <c r="BE18" s="317"/>
      <c r="BF18" s="317"/>
      <c r="BG18" s="317"/>
      <c r="BH18" s="317"/>
      <c r="BI18" s="317"/>
      <c r="BJ18" s="317"/>
      <c r="BK18" s="317"/>
      <c r="BL18" s="309"/>
      <c r="BM18" s="316"/>
      <c r="BN18" s="317"/>
      <c r="BO18" s="317"/>
      <c r="BP18" s="317"/>
      <c r="BQ18" s="317"/>
      <c r="BR18" s="317"/>
      <c r="BS18" s="317"/>
      <c r="BT18" s="317"/>
      <c r="BU18" s="311"/>
      <c r="BV18" s="312"/>
      <c r="BW18" s="313"/>
      <c r="BX18" s="313"/>
      <c r="BY18" s="313"/>
      <c r="BZ18" s="313"/>
      <c r="CA18" s="313"/>
      <c r="CB18" s="313"/>
      <c r="CC18" s="313"/>
      <c r="CD18" s="314"/>
      <c r="CE18" s="301" t="str">
        <f t="shared" si="1"/>
        <v>komunalne publiczne</v>
      </c>
      <c r="CF18" s="302"/>
    </row>
    <row r="19" spans="1:84" ht="14.25" customHeight="1">
      <c r="A19" s="70" t="s">
        <v>42</v>
      </c>
      <c r="B19" s="70" t="s">
        <v>43</v>
      </c>
      <c r="C19" s="70">
        <v>5</v>
      </c>
      <c r="D19" s="70" t="s">
        <v>44</v>
      </c>
      <c r="E19" s="70" t="s">
        <v>215</v>
      </c>
      <c r="F19" s="289" t="s">
        <v>243</v>
      </c>
      <c r="G19" s="290"/>
      <c r="H19" s="315">
        <v>40.08</v>
      </c>
      <c r="I19" s="91"/>
      <c r="J19" s="91"/>
      <c r="K19" s="91"/>
      <c r="L19" s="91"/>
      <c r="M19" s="91"/>
      <c r="N19" s="91"/>
      <c r="O19" s="291">
        <f t="shared" si="3"/>
        <v>45811</v>
      </c>
      <c r="P19" s="290"/>
      <c r="Q19" s="91">
        <v>33.730000000000004</v>
      </c>
      <c r="R19" s="91"/>
      <c r="S19" s="91"/>
      <c r="T19" s="91"/>
      <c r="U19" s="91"/>
      <c r="V19" s="91"/>
      <c r="W19" s="91"/>
      <c r="X19" s="291">
        <f>BU19</f>
        <v>47145</v>
      </c>
      <c r="Y19" s="292"/>
      <c r="Z19" s="305" t="s">
        <v>224</v>
      </c>
      <c r="AA19" s="319">
        <v>67.91</v>
      </c>
      <c r="AB19" s="306">
        <v>45811</v>
      </c>
      <c r="AC19" s="307"/>
      <c r="AD19" s="308">
        <v>25</v>
      </c>
      <c r="AE19" s="308"/>
      <c r="AF19" s="308"/>
      <c r="AG19" s="308"/>
      <c r="AH19" s="308"/>
      <c r="AI19" s="308"/>
      <c r="AJ19" s="308"/>
      <c r="AK19" s="309"/>
      <c r="AL19" s="307"/>
      <c r="AM19" s="308">
        <v>15.08</v>
      </c>
      <c r="AN19" s="308"/>
      <c r="AO19" s="308"/>
      <c r="AP19" s="308"/>
      <c r="AQ19" s="308"/>
      <c r="AR19" s="308"/>
      <c r="AS19" s="308"/>
      <c r="AT19" s="309"/>
      <c r="AU19" s="298"/>
      <c r="AV19" s="298">
        <f t="shared" si="2"/>
        <v>40.08</v>
      </c>
      <c r="AW19" s="298"/>
      <c r="AX19" s="298"/>
      <c r="AY19" s="298"/>
      <c r="AZ19" s="298"/>
      <c r="BA19" s="298"/>
      <c r="BB19" s="298"/>
      <c r="BC19" s="310"/>
      <c r="BD19" s="307"/>
      <c r="BE19" s="308">
        <v>19.73</v>
      </c>
      <c r="BF19" s="308"/>
      <c r="BG19" s="308"/>
      <c r="BH19" s="308"/>
      <c r="BI19" s="308"/>
      <c r="BJ19" s="308"/>
      <c r="BK19" s="308"/>
      <c r="BL19" s="309"/>
      <c r="BM19" s="307"/>
      <c r="BN19" s="308">
        <v>14</v>
      </c>
      <c r="BO19" s="308"/>
      <c r="BP19" s="308"/>
      <c r="BQ19" s="308"/>
      <c r="BR19" s="308"/>
      <c r="BS19" s="308"/>
      <c r="BT19" s="308"/>
      <c r="BU19" s="311">
        <v>47145</v>
      </c>
      <c r="BV19" s="312"/>
      <c r="BW19" s="313">
        <f t="shared" si="0"/>
        <v>33.730000000000004</v>
      </c>
      <c r="BX19" s="313"/>
      <c r="BY19" s="313"/>
      <c r="BZ19" s="313"/>
      <c r="CA19" s="313"/>
      <c r="CB19" s="313"/>
      <c r="CC19" s="313"/>
      <c r="CD19" s="314"/>
      <c r="CE19" s="216" t="str">
        <f t="shared" si="1"/>
        <v>komunalne publiczne</v>
      </c>
      <c r="CF19" s="302"/>
    </row>
    <row r="20" spans="1:84" ht="14.25" customHeight="1">
      <c r="A20" s="70" t="s">
        <v>229</v>
      </c>
      <c r="B20" s="70"/>
      <c r="C20" s="70"/>
      <c r="D20" s="70"/>
      <c r="E20" s="70" t="s">
        <v>215</v>
      </c>
      <c r="F20" s="289" t="s">
        <v>244</v>
      </c>
      <c r="G20" s="290"/>
      <c r="H20" s="315">
        <v>3.09</v>
      </c>
      <c r="I20" s="91"/>
      <c r="J20" s="91"/>
      <c r="K20" s="91"/>
      <c r="L20" s="91"/>
      <c r="M20" s="91"/>
      <c r="N20" s="91"/>
      <c r="O20" s="291">
        <v>1500</v>
      </c>
      <c r="P20" s="290"/>
      <c r="Q20" s="91">
        <v>3.3</v>
      </c>
      <c r="R20" s="91"/>
      <c r="S20" s="91"/>
      <c r="T20" s="91"/>
      <c r="U20" s="91"/>
      <c r="V20" s="91"/>
      <c r="W20" s="91"/>
      <c r="X20" s="291">
        <v>1550</v>
      </c>
      <c r="Y20" s="292"/>
      <c r="Z20" s="305"/>
      <c r="AA20" s="319"/>
      <c r="AB20" s="320"/>
      <c r="AC20" s="307"/>
      <c r="AD20" s="308">
        <f>51*30/1000</f>
        <v>1.53</v>
      </c>
      <c r="AE20" s="308"/>
      <c r="AF20" s="308"/>
      <c r="AG20" s="308"/>
      <c r="AH20" s="308"/>
      <c r="AI20" s="308"/>
      <c r="AJ20" s="308"/>
      <c r="AK20" s="309"/>
      <c r="AL20" s="307"/>
      <c r="AM20" s="308">
        <f>52*30/1000</f>
        <v>1.56</v>
      </c>
      <c r="AN20" s="308"/>
      <c r="AO20" s="308"/>
      <c r="AP20" s="308"/>
      <c r="AQ20" s="308"/>
      <c r="AR20" s="308"/>
      <c r="AS20" s="308"/>
      <c r="AT20" s="309"/>
      <c r="AU20" s="298"/>
      <c r="AV20" s="298">
        <f t="shared" si="2"/>
        <v>3.09</v>
      </c>
      <c r="AW20" s="298"/>
      <c r="AX20" s="298"/>
      <c r="AY20" s="298"/>
      <c r="AZ20" s="298"/>
      <c r="BA20" s="298"/>
      <c r="BB20" s="298"/>
      <c r="BC20" s="310"/>
      <c r="BD20" s="307"/>
      <c r="BE20" s="308">
        <f>73*30/1000</f>
        <v>2.19</v>
      </c>
      <c r="BF20" s="308"/>
      <c r="BG20" s="308"/>
      <c r="BH20" s="308"/>
      <c r="BI20" s="308"/>
      <c r="BJ20" s="308"/>
      <c r="BK20" s="308"/>
      <c r="BL20" s="309"/>
      <c r="BM20" s="307"/>
      <c r="BN20" s="308">
        <f>37*30/1000</f>
        <v>1.1100000000000001</v>
      </c>
      <c r="BO20" s="308"/>
      <c r="BP20" s="308"/>
      <c r="BQ20" s="308"/>
      <c r="BR20" s="308"/>
      <c r="BS20" s="308"/>
      <c r="BT20" s="308"/>
      <c r="BU20" s="311"/>
      <c r="BV20" s="312"/>
      <c r="BW20" s="313">
        <f t="shared" si="0"/>
        <v>3.3</v>
      </c>
      <c r="BX20" s="313"/>
      <c r="BY20" s="313"/>
      <c r="BZ20" s="313"/>
      <c r="CA20" s="313"/>
      <c r="CB20" s="313"/>
      <c r="CC20" s="313"/>
      <c r="CD20" s="314"/>
      <c r="CF20" s="302" t="str">
        <f>E20</f>
        <v>komunalne publiczne</v>
      </c>
    </row>
    <row r="21" spans="1:84" ht="14.25" customHeight="1">
      <c r="A21" s="70" t="s">
        <v>245</v>
      </c>
      <c r="B21" s="70" t="s">
        <v>246</v>
      </c>
      <c r="C21" s="70">
        <v>2</v>
      </c>
      <c r="D21" s="70"/>
      <c r="E21" s="70" t="s">
        <v>215</v>
      </c>
      <c r="F21" s="289" t="s">
        <v>247</v>
      </c>
      <c r="G21" s="290"/>
      <c r="H21" s="91">
        <v>3.1799999999999997</v>
      </c>
      <c r="I21" s="91"/>
      <c r="J21" s="91"/>
      <c r="K21" s="91"/>
      <c r="L21" s="91"/>
      <c r="M21" s="91"/>
      <c r="N21" s="91"/>
      <c r="O21" s="291">
        <v>1500</v>
      </c>
      <c r="P21" s="290"/>
      <c r="Q21" s="91">
        <v>2</v>
      </c>
      <c r="R21" s="91"/>
      <c r="S21" s="91"/>
      <c r="T21" s="91"/>
      <c r="U21" s="91"/>
      <c r="V21" s="91"/>
      <c r="W21" s="91"/>
      <c r="X21" s="291">
        <v>1550</v>
      </c>
      <c r="Y21" s="292"/>
      <c r="Z21" s="305"/>
      <c r="AA21" s="319"/>
      <c r="AB21" s="320"/>
      <c r="AC21" s="307"/>
      <c r="AD21" s="308">
        <v>1.9</v>
      </c>
      <c r="AE21" s="308"/>
      <c r="AF21" s="308"/>
      <c r="AG21" s="308"/>
      <c r="AH21" s="308"/>
      <c r="AI21" s="308"/>
      <c r="AJ21" s="308"/>
      <c r="AK21" s="309"/>
      <c r="AL21" s="307"/>
      <c r="AM21" s="308">
        <v>1.28</v>
      </c>
      <c r="AN21" s="308"/>
      <c r="AO21" s="308"/>
      <c r="AP21" s="308"/>
      <c r="AQ21" s="308"/>
      <c r="AR21" s="308"/>
      <c r="AS21" s="308"/>
      <c r="AT21" s="309"/>
      <c r="AU21" s="298"/>
      <c r="AV21" s="298">
        <f t="shared" si="2"/>
        <v>3.1799999999999997</v>
      </c>
      <c r="AW21" s="298"/>
      <c r="AX21" s="298"/>
      <c r="AY21" s="298"/>
      <c r="AZ21" s="298"/>
      <c r="BA21" s="298"/>
      <c r="BB21" s="298"/>
      <c r="BC21" s="310"/>
      <c r="BD21" s="307"/>
      <c r="BE21" s="308">
        <v>0.9</v>
      </c>
      <c r="BF21" s="308"/>
      <c r="BG21" s="308"/>
      <c r="BH21" s="308"/>
      <c r="BI21" s="308"/>
      <c r="BJ21" s="308"/>
      <c r="BK21" s="308"/>
      <c r="BL21" s="309"/>
      <c r="BM21" s="307"/>
      <c r="BN21" s="308">
        <v>1.1000000000000001</v>
      </c>
      <c r="BO21" s="308"/>
      <c r="BP21" s="308"/>
      <c r="BQ21" s="308"/>
      <c r="BR21" s="308"/>
      <c r="BS21" s="308"/>
      <c r="BT21" s="308"/>
      <c r="BU21" s="311"/>
      <c r="BV21" s="312"/>
      <c r="BW21" s="313">
        <f t="shared" si="0"/>
        <v>2</v>
      </c>
      <c r="BX21" s="313"/>
      <c r="BY21" s="313"/>
      <c r="BZ21" s="313"/>
      <c r="CA21" s="313"/>
      <c r="CB21" s="313"/>
      <c r="CC21" s="313"/>
      <c r="CD21" s="314"/>
      <c r="CF21" s="302" t="str">
        <f t="shared" ref="CF21:CF34" si="7">E21</f>
        <v>komunalne publiczne</v>
      </c>
    </row>
    <row r="22" spans="1:84" ht="14.25" customHeight="1">
      <c r="A22" s="70" t="s">
        <v>77</v>
      </c>
      <c r="B22" s="70"/>
      <c r="C22" s="70"/>
      <c r="D22" s="70"/>
      <c r="E22" s="70" t="s">
        <v>215</v>
      </c>
      <c r="F22" s="289" t="s">
        <v>248</v>
      </c>
      <c r="G22" s="290"/>
      <c r="H22" s="91">
        <v>3.41</v>
      </c>
      <c r="I22" s="91"/>
      <c r="J22" s="91"/>
      <c r="K22" s="91"/>
      <c r="L22" s="91"/>
      <c r="M22" s="91"/>
      <c r="N22" s="91"/>
      <c r="O22" s="291">
        <v>1500</v>
      </c>
      <c r="P22" s="290"/>
      <c r="Q22" s="91">
        <v>2.1</v>
      </c>
      <c r="R22" s="91"/>
      <c r="S22" s="91"/>
      <c r="T22" s="91"/>
      <c r="U22" s="91"/>
      <c r="V22" s="91"/>
      <c r="W22" s="91"/>
      <c r="X22" s="291">
        <v>1550</v>
      </c>
      <c r="Y22" s="292"/>
      <c r="Z22" s="305"/>
      <c r="AA22" s="319"/>
      <c r="AB22" s="320"/>
      <c r="AC22" s="307"/>
      <c r="AD22" s="308">
        <v>0.3</v>
      </c>
      <c r="AE22" s="308"/>
      <c r="AF22" s="308"/>
      <c r="AG22" s="308"/>
      <c r="AH22" s="308"/>
      <c r="AI22" s="308"/>
      <c r="AJ22" s="308"/>
      <c r="AK22" s="309"/>
      <c r="AL22" s="307"/>
      <c r="AM22" s="308">
        <f>0.8+1.5+(27*30/1000)</f>
        <v>3.11</v>
      </c>
      <c r="AN22" s="308"/>
      <c r="AO22" s="308"/>
      <c r="AP22" s="308"/>
      <c r="AQ22" s="308"/>
      <c r="AR22" s="308"/>
      <c r="AS22" s="308"/>
      <c r="AT22" s="309"/>
      <c r="AU22" s="298"/>
      <c r="AV22" s="298">
        <f t="shared" si="2"/>
        <v>3.4099999999999997</v>
      </c>
      <c r="AW22" s="298"/>
      <c r="AX22" s="298"/>
      <c r="AY22" s="298"/>
      <c r="AZ22" s="298"/>
      <c r="BA22" s="298"/>
      <c r="BB22" s="298"/>
      <c r="BC22" s="310"/>
      <c r="BD22" s="307"/>
      <c r="BE22" s="308">
        <v>2.1</v>
      </c>
      <c r="BF22" s="308"/>
      <c r="BG22" s="308"/>
      <c r="BH22" s="308"/>
      <c r="BI22" s="308"/>
      <c r="BJ22" s="308"/>
      <c r="BK22" s="308"/>
      <c r="BL22" s="309"/>
      <c r="BM22" s="307"/>
      <c r="BN22" s="308"/>
      <c r="BO22" s="308"/>
      <c r="BP22" s="308"/>
      <c r="BQ22" s="308"/>
      <c r="BR22" s="308"/>
      <c r="BS22" s="308"/>
      <c r="BT22" s="308"/>
      <c r="BU22" s="311"/>
      <c r="BV22" s="312"/>
      <c r="BW22" s="313">
        <f t="shared" si="0"/>
        <v>2.1</v>
      </c>
      <c r="BX22" s="313"/>
      <c r="BY22" s="313"/>
      <c r="BZ22" s="313"/>
      <c r="CA22" s="313"/>
      <c r="CB22" s="313"/>
      <c r="CC22" s="313"/>
      <c r="CD22" s="314"/>
      <c r="CF22" s="302" t="str">
        <f t="shared" si="7"/>
        <v>komunalne publiczne</v>
      </c>
    </row>
    <row r="23" spans="1:84" ht="14.25" customHeight="1">
      <c r="A23" s="70" t="s">
        <v>249</v>
      </c>
      <c r="B23" s="70"/>
      <c r="C23" s="70"/>
      <c r="D23" s="70"/>
      <c r="E23" s="70" t="s">
        <v>215</v>
      </c>
      <c r="F23" s="289" t="s">
        <v>250</v>
      </c>
      <c r="G23" s="290"/>
      <c r="H23" s="91">
        <f>(H12+H13+H14+H15+H16)/5</f>
        <v>10.78</v>
      </c>
      <c r="I23" s="91"/>
      <c r="J23" s="91">
        <f>(J11)/4</f>
        <v>0.5</v>
      </c>
      <c r="K23" s="91"/>
      <c r="L23" s="91"/>
      <c r="M23" s="91"/>
      <c r="N23" s="91"/>
      <c r="O23" s="291">
        <f>(O12+O13+O14+O15+O16)/5</f>
        <v>1714.6</v>
      </c>
      <c r="P23" s="290"/>
      <c r="Q23" s="91">
        <f>(Q12+Q13+Q14+Q15+Q16)/5</f>
        <v>8.9160000000000004</v>
      </c>
      <c r="R23" s="91"/>
      <c r="S23" s="91">
        <f>(S11)/4</f>
        <v>0.75</v>
      </c>
      <c r="T23" s="91"/>
      <c r="U23" s="91"/>
      <c r="V23" s="91"/>
      <c r="W23" s="91"/>
      <c r="X23" s="291">
        <f>(X12+X13+X14+X15+X16)/5</f>
        <v>1903.2060000000001</v>
      </c>
      <c r="Y23" s="292"/>
      <c r="Z23" s="305"/>
      <c r="AA23" s="319"/>
      <c r="AB23" s="320"/>
      <c r="AC23" s="307"/>
      <c r="AD23" s="308"/>
      <c r="AE23" s="308"/>
      <c r="AF23" s="308"/>
      <c r="AG23" s="308"/>
      <c r="AH23" s="308"/>
      <c r="AI23" s="308"/>
      <c r="AJ23" s="308"/>
      <c r="AK23" s="309"/>
      <c r="AL23" s="307"/>
      <c r="AM23" s="308"/>
      <c r="AN23" s="308"/>
      <c r="AO23" s="308"/>
      <c r="AP23" s="308"/>
      <c r="AQ23" s="308"/>
      <c r="AR23" s="308"/>
      <c r="AS23" s="308"/>
      <c r="AT23" s="309"/>
      <c r="AU23" s="298"/>
      <c r="AV23" s="298"/>
      <c r="AW23" s="298"/>
      <c r="AX23" s="298"/>
      <c r="AY23" s="298"/>
      <c r="AZ23" s="298"/>
      <c r="BA23" s="298"/>
      <c r="BB23" s="298"/>
      <c r="BC23" s="310"/>
      <c r="BD23" s="307"/>
      <c r="BE23" s="308"/>
      <c r="BF23" s="308"/>
      <c r="BG23" s="308"/>
      <c r="BH23" s="308"/>
      <c r="BI23" s="308"/>
      <c r="BJ23" s="308"/>
      <c r="BK23" s="308"/>
      <c r="BL23" s="309"/>
      <c r="BM23" s="307"/>
      <c r="BN23" s="308"/>
      <c r="BO23" s="308"/>
      <c r="BP23" s="308"/>
      <c r="BQ23" s="308"/>
      <c r="BR23" s="308"/>
      <c r="BS23" s="308"/>
      <c r="BT23" s="308"/>
      <c r="BU23" s="311"/>
      <c r="BV23" s="312"/>
      <c r="BW23" s="313"/>
      <c r="BX23" s="313"/>
      <c r="BY23" s="313"/>
      <c r="BZ23" s="313"/>
      <c r="CA23" s="313"/>
      <c r="CB23" s="313"/>
      <c r="CC23" s="313"/>
      <c r="CD23" s="314"/>
      <c r="CF23" s="302" t="str">
        <f t="shared" si="7"/>
        <v>komunalne publiczne</v>
      </c>
    </row>
    <row r="24" spans="1:84" ht="14.25" customHeight="1">
      <c r="A24" s="70" t="s">
        <v>251</v>
      </c>
      <c r="B24" s="70"/>
      <c r="C24" s="70"/>
      <c r="D24" s="70"/>
      <c r="E24" s="70" t="s">
        <v>215</v>
      </c>
      <c r="F24" s="289" t="s">
        <v>252</v>
      </c>
      <c r="G24" s="290"/>
      <c r="H24" s="91">
        <v>10.78</v>
      </c>
      <c r="I24" s="91"/>
      <c r="J24" s="91">
        <v>0.5</v>
      </c>
      <c r="K24" s="91"/>
      <c r="L24" s="91"/>
      <c r="M24" s="91"/>
      <c r="N24" s="91"/>
      <c r="O24" s="291">
        <v>1714.6</v>
      </c>
      <c r="P24" s="290"/>
      <c r="Q24" s="91">
        <v>10.78</v>
      </c>
      <c r="R24" s="91"/>
      <c r="S24" s="91">
        <v>0.5</v>
      </c>
      <c r="T24" s="91"/>
      <c r="U24" s="91"/>
      <c r="V24" s="91"/>
      <c r="W24" s="91"/>
      <c r="X24" s="291">
        <v>1714.6</v>
      </c>
      <c r="Y24" s="292"/>
      <c r="Z24" s="305"/>
      <c r="AA24" s="319"/>
      <c r="AB24" s="320"/>
      <c r="AC24" s="307"/>
      <c r="AD24" s="308"/>
      <c r="AE24" s="308"/>
      <c r="AF24" s="308"/>
      <c r="AG24" s="308"/>
      <c r="AH24" s="308"/>
      <c r="AI24" s="308"/>
      <c r="AJ24" s="308"/>
      <c r="AK24" s="309"/>
      <c r="AL24" s="307"/>
      <c r="AM24" s="308"/>
      <c r="AN24" s="308"/>
      <c r="AO24" s="308"/>
      <c r="AP24" s="308"/>
      <c r="AQ24" s="308"/>
      <c r="AR24" s="308"/>
      <c r="AS24" s="308"/>
      <c r="AT24" s="309"/>
      <c r="AU24" s="298"/>
      <c r="AV24" s="298"/>
      <c r="AW24" s="298"/>
      <c r="AX24" s="298"/>
      <c r="AY24" s="298"/>
      <c r="AZ24" s="298"/>
      <c r="BA24" s="298"/>
      <c r="BB24" s="298"/>
      <c r="BC24" s="310"/>
      <c r="BD24" s="307"/>
      <c r="BE24" s="308"/>
      <c r="BF24" s="308"/>
      <c r="BG24" s="308"/>
      <c r="BH24" s="308"/>
      <c r="BI24" s="308"/>
      <c r="BJ24" s="308"/>
      <c r="BK24" s="308"/>
      <c r="BL24" s="309"/>
      <c r="BM24" s="307"/>
      <c r="BN24" s="308"/>
      <c r="BO24" s="308"/>
      <c r="BP24" s="308"/>
      <c r="BQ24" s="308"/>
      <c r="BR24" s="308"/>
      <c r="BS24" s="308"/>
      <c r="BT24" s="308"/>
      <c r="BU24" s="311"/>
      <c r="BV24" s="312"/>
      <c r="BW24" s="313"/>
      <c r="BX24" s="313"/>
      <c r="BY24" s="313"/>
      <c r="BZ24" s="313"/>
      <c r="CA24" s="313"/>
      <c r="CB24" s="313"/>
      <c r="CC24" s="313"/>
      <c r="CD24" s="314"/>
      <c r="CF24" s="302" t="str">
        <f t="shared" si="7"/>
        <v>komunalne publiczne</v>
      </c>
    </row>
    <row r="25" spans="1:84" ht="14.25" customHeight="1">
      <c r="A25" s="70" t="s">
        <v>245</v>
      </c>
      <c r="B25" s="70" t="s">
        <v>49</v>
      </c>
      <c r="C25" s="70"/>
      <c r="D25" s="70"/>
      <c r="E25" s="70" t="s">
        <v>215</v>
      </c>
      <c r="F25" s="289" t="s">
        <v>253</v>
      </c>
      <c r="G25" s="290"/>
      <c r="H25" s="91">
        <v>10.78</v>
      </c>
      <c r="I25" s="91"/>
      <c r="J25" s="91">
        <v>0.5</v>
      </c>
      <c r="K25" s="91"/>
      <c r="L25" s="91"/>
      <c r="M25" s="91"/>
      <c r="N25" s="91"/>
      <c r="O25" s="291">
        <v>1714.6</v>
      </c>
      <c r="P25" s="290"/>
      <c r="Q25" s="91">
        <v>10.78</v>
      </c>
      <c r="R25" s="91"/>
      <c r="S25" s="91">
        <v>0.5</v>
      </c>
      <c r="T25" s="91"/>
      <c r="U25" s="91"/>
      <c r="V25" s="91"/>
      <c r="W25" s="91"/>
      <c r="X25" s="291">
        <v>1714.6</v>
      </c>
      <c r="Y25" s="292"/>
      <c r="Z25" s="305"/>
      <c r="AA25" s="319"/>
      <c r="AB25" s="320"/>
      <c r="AC25" s="307"/>
      <c r="AD25" s="308"/>
      <c r="AE25" s="308"/>
      <c r="AF25" s="308"/>
      <c r="AG25" s="308"/>
      <c r="AH25" s="308"/>
      <c r="AI25" s="308"/>
      <c r="AJ25" s="308"/>
      <c r="AK25" s="309"/>
      <c r="AL25" s="307"/>
      <c r="AM25" s="308"/>
      <c r="AN25" s="308"/>
      <c r="AO25" s="308"/>
      <c r="AP25" s="308"/>
      <c r="AQ25" s="308"/>
      <c r="AR25" s="308"/>
      <c r="AS25" s="308"/>
      <c r="AT25" s="309"/>
      <c r="AU25" s="298"/>
      <c r="AV25" s="298"/>
      <c r="AW25" s="298"/>
      <c r="AX25" s="298"/>
      <c r="AY25" s="298"/>
      <c r="AZ25" s="298"/>
      <c r="BA25" s="298"/>
      <c r="BB25" s="298"/>
      <c r="BC25" s="310"/>
      <c r="BD25" s="307"/>
      <c r="BE25" s="308"/>
      <c r="BF25" s="308"/>
      <c r="BG25" s="308"/>
      <c r="BH25" s="308"/>
      <c r="BI25" s="308"/>
      <c r="BJ25" s="308"/>
      <c r="BK25" s="308"/>
      <c r="BL25" s="309"/>
      <c r="BM25" s="307"/>
      <c r="BN25" s="308"/>
      <c r="BO25" s="308"/>
      <c r="BP25" s="308"/>
      <c r="BQ25" s="308"/>
      <c r="BR25" s="308"/>
      <c r="BS25" s="308"/>
      <c r="BT25" s="308"/>
      <c r="BU25" s="311"/>
      <c r="BV25" s="312"/>
      <c r="BW25" s="313"/>
      <c r="BX25" s="313"/>
      <c r="BY25" s="313"/>
      <c r="BZ25" s="313"/>
      <c r="CA25" s="313"/>
      <c r="CB25" s="313"/>
      <c r="CC25" s="313"/>
      <c r="CD25" s="314"/>
      <c r="CF25" s="302" t="str">
        <f t="shared" si="7"/>
        <v>komunalne publiczne</v>
      </c>
    </row>
    <row r="26" spans="1:84" ht="14.25" customHeight="1">
      <c r="A26" s="70" t="s">
        <v>42</v>
      </c>
      <c r="B26" s="70" t="s">
        <v>99</v>
      </c>
      <c r="C26" s="70"/>
      <c r="D26" s="70"/>
      <c r="E26" s="70" t="s">
        <v>215</v>
      </c>
      <c r="F26" s="289" t="s">
        <v>254</v>
      </c>
      <c r="G26" s="290"/>
      <c r="H26" s="91">
        <v>26.793333333333333</v>
      </c>
      <c r="I26" s="91"/>
      <c r="J26" s="91">
        <v>0.83333333333333337</v>
      </c>
      <c r="K26" s="91"/>
      <c r="L26" s="91"/>
      <c r="M26" s="91"/>
      <c r="N26" s="91"/>
      <c r="O26" s="291">
        <v>2300</v>
      </c>
      <c r="P26" s="290"/>
      <c r="Q26" s="91">
        <v>18.916666666666668</v>
      </c>
      <c r="R26" s="91"/>
      <c r="S26" s="91">
        <v>1</v>
      </c>
      <c r="T26" s="91"/>
      <c r="U26" s="91"/>
      <c r="V26" s="91"/>
      <c r="W26" s="91"/>
      <c r="X26" s="291">
        <v>2300</v>
      </c>
      <c r="Y26" s="292"/>
      <c r="Z26" s="305"/>
      <c r="AA26" s="319"/>
      <c r="AB26" s="320"/>
      <c r="AC26" s="307"/>
      <c r="AD26" s="308"/>
      <c r="AE26" s="308"/>
      <c r="AF26" s="308"/>
      <c r="AG26" s="308"/>
      <c r="AH26" s="308"/>
      <c r="AI26" s="308"/>
      <c r="AJ26" s="308"/>
      <c r="AK26" s="309"/>
      <c r="AL26" s="307"/>
      <c r="AM26" s="308"/>
      <c r="AN26" s="308"/>
      <c r="AO26" s="308"/>
      <c r="AP26" s="308"/>
      <c r="AQ26" s="308"/>
      <c r="AR26" s="308"/>
      <c r="AS26" s="308"/>
      <c r="AT26" s="309"/>
      <c r="AU26" s="298"/>
      <c r="AV26" s="298"/>
      <c r="AW26" s="298"/>
      <c r="AX26" s="298"/>
      <c r="AY26" s="298"/>
      <c r="AZ26" s="298"/>
      <c r="BA26" s="298"/>
      <c r="BB26" s="298"/>
      <c r="BC26" s="310"/>
      <c r="BD26" s="307"/>
      <c r="BE26" s="308"/>
      <c r="BF26" s="308"/>
      <c r="BG26" s="308"/>
      <c r="BH26" s="308"/>
      <c r="BI26" s="308"/>
      <c r="BJ26" s="308"/>
      <c r="BK26" s="308"/>
      <c r="BL26" s="309"/>
      <c r="BM26" s="307"/>
      <c r="BN26" s="308"/>
      <c r="BO26" s="308"/>
      <c r="BP26" s="308"/>
      <c r="BQ26" s="308"/>
      <c r="BR26" s="308"/>
      <c r="BS26" s="308"/>
      <c r="BT26" s="308"/>
      <c r="BU26" s="311"/>
      <c r="BV26" s="312"/>
      <c r="BW26" s="313"/>
      <c r="BX26" s="313"/>
      <c r="BY26" s="313"/>
      <c r="BZ26" s="313"/>
      <c r="CA26" s="313"/>
      <c r="CB26" s="313"/>
      <c r="CC26" s="313"/>
      <c r="CD26" s="314"/>
      <c r="CF26" s="302" t="str">
        <f t="shared" si="7"/>
        <v>komunalne publiczne</v>
      </c>
    </row>
    <row r="27" spans="1:84" ht="14.25" customHeight="1">
      <c r="A27" s="70" t="s">
        <v>42</v>
      </c>
      <c r="B27" s="70" t="s">
        <v>56</v>
      </c>
      <c r="C27" s="70" t="s">
        <v>255</v>
      </c>
      <c r="D27" s="70" t="s">
        <v>44</v>
      </c>
      <c r="E27" s="70" t="s">
        <v>215</v>
      </c>
      <c r="F27" s="289" t="s">
        <v>256</v>
      </c>
      <c r="G27" s="290"/>
      <c r="H27" s="91">
        <v>31.71</v>
      </c>
      <c r="I27" s="91"/>
      <c r="J27" s="91"/>
      <c r="K27" s="91"/>
      <c r="L27" s="91"/>
      <c r="M27" s="91"/>
      <c r="N27" s="91"/>
      <c r="O27" s="291">
        <v>18220.71</v>
      </c>
      <c r="P27" s="290"/>
      <c r="Q27" s="91">
        <f>Q31</f>
        <v>20.58666666666667</v>
      </c>
      <c r="R27" s="91"/>
      <c r="S27" s="91"/>
      <c r="T27" s="91"/>
      <c r="U27" s="91"/>
      <c r="V27" s="91"/>
      <c r="W27" s="91"/>
      <c r="X27" s="291">
        <f>X31</f>
        <v>20870</v>
      </c>
      <c r="Y27" s="292"/>
      <c r="Z27" s="305"/>
      <c r="AA27" s="319"/>
      <c r="AB27" s="320"/>
      <c r="AC27" s="307"/>
      <c r="AD27" s="308"/>
      <c r="AE27" s="308"/>
      <c r="AF27" s="308"/>
      <c r="AG27" s="308"/>
      <c r="AH27" s="308"/>
      <c r="AI27" s="308"/>
      <c r="AJ27" s="308"/>
      <c r="AK27" s="309"/>
      <c r="AL27" s="307"/>
      <c r="AM27" s="308"/>
      <c r="AN27" s="308"/>
      <c r="AO27" s="308"/>
      <c r="AP27" s="308"/>
      <c r="AQ27" s="308"/>
      <c r="AR27" s="308"/>
      <c r="AS27" s="308"/>
      <c r="AT27" s="309"/>
      <c r="AU27" s="298"/>
      <c r="AV27" s="298"/>
      <c r="AW27" s="298"/>
      <c r="AX27" s="298"/>
      <c r="AY27" s="298"/>
      <c r="AZ27" s="298"/>
      <c r="BA27" s="298"/>
      <c r="BB27" s="298"/>
      <c r="BC27" s="310"/>
      <c r="BD27" s="307"/>
      <c r="BE27" s="308"/>
      <c r="BF27" s="308"/>
      <c r="BG27" s="308"/>
      <c r="BH27" s="308"/>
      <c r="BI27" s="308"/>
      <c r="BJ27" s="308"/>
      <c r="BK27" s="308"/>
      <c r="BL27" s="309"/>
      <c r="BM27" s="307"/>
      <c r="BN27" s="308"/>
      <c r="BO27" s="308"/>
      <c r="BP27" s="308"/>
      <c r="BQ27" s="308"/>
      <c r="BR27" s="308"/>
      <c r="BS27" s="308"/>
      <c r="BT27" s="308"/>
      <c r="BU27" s="311"/>
      <c r="BV27" s="312"/>
      <c r="BW27" s="313"/>
      <c r="BX27" s="313"/>
      <c r="BY27" s="313"/>
      <c r="BZ27" s="313"/>
      <c r="CA27" s="313"/>
      <c r="CB27" s="313"/>
      <c r="CC27" s="313"/>
      <c r="CD27" s="314"/>
      <c r="CF27" s="302" t="str">
        <f t="shared" si="7"/>
        <v>komunalne publiczne</v>
      </c>
    </row>
    <row r="28" spans="1:84" ht="14.25" customHeight="1">
      <c r="A28" s="70" t="s">
        <v>42</v>
      </c>
      <c r="B28" s="70" t="s">
        <v>43</v>
      </c>
      <c r="C28" s="70">
        <v>5</v>
      </c>
      <c r="D28" s="70" t="s">
        <v>44</v>
      </c>
      <c r="E28" s="70" t="s">
        <v>215</v>
      </c>
      <c r="F28" s="289" t="s">
        <v>257</v>
      </c>
      <c r="G28" s="290"/>
      <c r="H28" s="91">
        <f>(H17+H18)/2</f>
        <v>31.57</v>
      </c>
      <c r="I28" s="91"/>
      <c r="J28" s="91"/>
      <c r="K28" s="91"/>
      <c r="L28" s="91"/>
      <c r="M28" s="91"/>
      <c r="N28" s="91"/>
      <c r="O28" s="291">
        <f>(O17+O18)/2</f>
        <v>9168</v>
      </c>
      <c r="P28" s="290"/>
      <c r="Q28" s="91">
        <f>(Q17+Q18)/2</f>
        <v>27</v>
      </c>
      <c r="R28" s="91"/>
      <c r="S28" s="91"/>
      <c r="T28" s="91"/>
      <c r="U28" s="91"/>
      <c r="V28" s="91"/>
      <c r="W28" s="91"/>
      <c r="X28" s="291">
        <f>(X17+X18)/2</f>
        <v>10176.48</v>
      </c>
      <c r="Y28" s="292"/>
      <c r="Z28" s="305"/>
      <c r="AA28" s="319"/>
      <c r="AB28" s="320"/>
      <c r="AC28" s="307"/>
      <c r="AD28" s="308"/>
      <c r="AE28" s="308"/>
      <c r="AF28" s="308"/>
      <c r="AG28" s="308"/>
      <c r="AH28" s="308"/>
      <c r="AI28" s="308"/>
      <c r="AJ28" s="308"/>
      <c r="AK28" s="309"/>
      <c r="AL28" s="307"/>
      <c r="AM28" s="308"/>
      <c r="AN28" s="308"/>
      <c r="AO28" s="308"/>
      <c r="AP28" s="308"/>
      <c r="AQ28" s="308"/>
      <c r="AR28" s="308"/>
      <c r="AS28" s="308"/>
      <c r="AT28" s="309"/>
      <c r="AU28" s="298"/>
      <c r="AV28" s="298"/>
      <c r="AW28" s="298"/>
      <c r="AX28" s="298"/>
      <c r="AY28" s="298"/>
      <c r="AZ28" s="298"/>
      <c r="BA28" s="298"/>
      <c r="BB28" s="298"/>
      <c r="BC28" s="310"/>
      <c r="BD28" s="307"/>
      <c r="BE28" s="308"/>
      <c r="BF28" s="308"/>
      <c r="BG28" s="308"/>
      <c r="BH28" s="308"/>
      <c r="BI28" s="308"/>
      <c r="BJ28" s="308"/>
      <c r="BK28" s="308"/>
      <c r="BL28" s="309"/>
      <c r="BM28" s="307"/>
      <c r="BN28" s="308"/>
      <c r="BO28" s="308"/>
      <c r="BP28" s="308"/>
      <c r="BQ28" s="308"/>
      <c r="BR28" s="308"/>
      <c r="BS28" s="308"/>
      <c r="BT28" s="308"/>
      <c r="BU28" s="311"/>
      <c r="BV28" s="312"/>
      <c r="BW28" s="313"/>
      <c r="BX28" s="313"/>
      <c r="BY28" s="313"/>
      <c r="BZ28" s="313"/>
      <c r="CA28" s="313"/>
      <c r="CB28" s="313"/>
      <c r="CC28" s="313"/>
      <c r="CD28" s="314"/>
      <c r="CF28" s="302" t="str">
        <f t="shared" si="7"/>
        <v>komunalne publiczne</v>
      </c>
    </row>
    <row r="29" spans="1:84" ht="14.25" customHeight="1">
      <c r="A29" s="70" t="s">
        <v>42</v>
      </c>
      <c r="B29" s="70" t="s">
        <v>56</v>
      </c>
      <c r="C29" s="70">
        <v>11</v>
      </c>
      <c r="D29" s="70" t="s">
        <v>44</v>
      </c>
      <c r="E29" s="70" t="s">
        <v>215</v>
      </c>
      <c r="F29" s="289" t="s">
        <v>258</v>
      </c>
      <c r="G29" s="290"/>
      <c r="H29" s="91">
        <v>22.58</v>
      </c>
      <c r="I29" s="91"/>
      <c r="J29" s="91"/>
      <c r="K29" s="91"/>
      <c r="L29" s="91"/>
      <c r="M29" s="91"/>
      <c r="N29" s="91"/>
      <c r="O29" s="291">
        <v>9500</v>
      </c>
      <c r="P29" s="290"/>
      <c r="Q29" s="91">
        <v>21.32</v>
      </c>
      <c r="R29" s="91"/>
      <c r="S29" s="91"/>
      <c r="T29" s="91"/>
      <c r="U29" s="91"/>
      <c r="V29" s="91"/>
      <c r="W29" s="91"/>
      <c r="X29" s="291">
        <v>10100</v>
      </c>
      <c r="Y29" s="292"/>
      <c r="Z29" s="305"/>
      <c r="AA29" s="319"/>
      <c r="AB29" s="320"/>
      <c r="AC29" s="307"/>
      <c r="AD29" s="308"/>
      <c r="AE29" s="308"/>
      <c r="AF29" s="308"/>
      <c r="AG29" s="308"/>
      <c r="AH29" s="308"/>
      <c r="AI29" s="308"/>
      <c r="AJ29" s="308"/>
      <c r="AK29" s="309"/>
      <c r="AL29" s="307"/>
      <c r="AM29" s="308"/>
      <c r="AN29" s="308"/>
      <c r="AO29" s="308"/>
      <c r="AP29" s="308"/>
      <c r="AQ29" s="308"/>
      <c r="AR29" s="308"/>
      <c r="AS29" s="308"/>
      <c r="AT29" s="309"/>
      <c r="AU29" s="298"/>
      <c r="AV29" s="298"/>
      <c r="AW29" s="298"/>
      <c r="AX29" s="298"/>
      <c r="AY29" s="298"/>
      <c r="AZ29" s="298"/>
      <c r="BA29" s="298"/>
      <c r="BB29" s="298"/>
      <c r="BC29" s="310"/>
      <c r="BD29" s="307"/>
      <c r="BE29" s="308"/>
      <c r="BF29" s="308"/>
      <c r="BG29" s="308"/>
      <c r="BH29" s="308"/>
      <c r="BI29" s="308"/>
      <c r="BJ29" s="308"/>
      <c r="BK29" s="308"/>
      <c r="BL29" s="309"/>
      <c r="BM29" s="307"/>
      <c r="BN29" s="308"/>
      <c r="BO29" s="308"/>
      <c r="BP29" s="308"/>
      <c r="BQ29" s="308"/>
      <c r="BR29" s="308"/>
      <c r="BS29" s="308"/>
      <c r="BT29" s="308"/>
      <c r="BU29" s="311"/>
      <c r="BV29" s="312"/>
      <c r="BW29" s="313"/>
      <c r="BX29" s="313"/>
      <c r="BY29" s="313"/>
      <c r="BZ29" s="313"/>
      <c r="CA29" s="313"/>
      <c r="CB29" s="313"/>
      <c r="CC29" s="313"/>
      <c r="CD29" s="314"/>
      <c r="CF29" s="302" t="str">
        <f t="shared" si="7"/>
        <v>komunalne publiczne</v>
      </c>
    </row>
    <row r="30" spans="1:84" ht="14.25" customHeight="1">
      <c r="A30" s="70" t="s">
        <v>42</v>
      </c>
      <c r="B30" s="70" t="s">
        <v>43</v>
      </c>
      <c r="C30" s="70">
        <v>5</v>
      </c>
      <c r="D30" s="70" t="s">
        <v>44</v>
      </c>
      <c r="E30" s="70" t="s">
        <v>215</v>
      </c>
      <c r="F30" s="289" t="s">
        <v>259</v>
      </c>
      <c r="G30" s="290"/>
      <c r="H30" s="91">
        <v>40.08</v>
      </c>
      <c r="I30" s="91"/>
      <c r="J30" s="91"/>
      <c r="K30" s="91"/>
      <c r="L30" s="91"/>
      <c r="M30" s="91"/>
      <c r="N30" s="91"/>
      <c r="O30" s="291">
        <f>O19</f>
        <v>45811</v>
      </c>
      <c r="P30" s="290"/>
      <c r="Q30" s="91">
        <f>Q19</f>
        <v>33.730000000000004</v>
      </c>
      <c r="R30" s="91"/>
      <c r="S30" s="91"/>
      <c r="T30" s="91"/>
      <c r="U30" s="91"/>
      <c r="V30" s="91"/>
      <c r="W30" s="91"/>
      <c r="X30" s="291">
        <f>X19</f>
        <v>47145</v>
      </c>
      <c r="Y30" s="292"/>
      <c r="Z30" s="305"/>
      <c r="AA30" s="319"/>
      <c r="AB30" s="320"/>
      <c r="AC30" s="307"/>
      <c r="AD30" s="308"/>
      <c r="AE30" s="308"/>
      <c r="AF30" s="308"/>
      <c r="AG30" s="308"/>
      <c r="AH30" s="308"/>
      <c r="AI30" s="308"/>
      <c r="AJ30" s="308"/>
      <c r="AK30" s="309"/>
      <c r="AL30" s="307"/>
      <c r="AM30" s="308"/>
      <c r="AN30" s="308"/>
      <c r="AO30" s="308"/>
      <c r="AP30" s="308"/>
      <c r="AQ30" s="308"/>
      <c r="AR30" s="308"/>
      <c r="AS30" s="308"/>
      <c r="AT30" s="309"/>
      <c r="AU30" s="298"/>
      <c r="AV30" s="298"/>
      <c r="AW30" s="298"/>
      <c r="AX30" s="298"/>
      <c r="AY30" s="298"/>
      <c r="AZ30" s="298"/>
      <c r="BA30" s="298"/>
      <c r="BB30" s="298"/>
      <c r="BC30" s="310"/>
      <c r="BD30" s="307"/>
      <c r="BE30" s="308"/>
      <c r="BF30" s="308"/>
      <c r="BG30" s="308"/>
      <c r="BH30" s="308"/>
      <c r="BI30" s="308"/>
      <c r="BJ30" s="308"/>
      <c r="BK30" s="308"/>
      <c r="BL30" s="309"/>
      <c r="BM30" s="307"/>
      <c r="BN30" s="308"/>
      <c r="BO30" s="308"/>
      <c r="BP30" s="308"/>
      <c r="BQ30" s="308"/>
      <c r="BR30" s="308"/>
      <c r="BS30" s="308"/>
      <c r="BT30" s="308"/>
      <c r="BU30" s="311"/>
      <c r="BV30" s="312"/>
      <c r="BW30" s="313"/>
      <c r="BX30" s="313"/>
      <c r="BY30" s="313"/>
      <c r="BZ30" s="313"/>
      <c r="CA30" s="313"/>
      <c r="CB30" s="313"/>
      <c r="CC30" s="313"/>
      <c r="CD30" s="314"/>
      <c r="CF30" s="302" t="str">
        <f t="shared" si="7"/>
        <v>komunalne publiczne</v>
      </c>
    </row>
    <row r="31" spans="1:84" ht="14.25" customHeight="1">
      <c r="A31" s="70" t="s">
        <v>42</v>
      </c>
      <c r="B31" s="70" t="s">
        <v>72</v>
      </c>
      <c r="C31" s="70">
        <v>16</v>
      </c>
      <c r="D31" s="70" t="s">
        <v>44</v>
      </c>
      <c r="E31" s="70" t="s">
        <v>215</v>
      </c>
      <c r="F31" s="289" t="s">
        <v>260</v>
      </c>
      <c r="G31" s="290"/>
      <c r="H31" s="91">
        <f>(H6+H7)/3</f>
        <v>31.713333333333335</v>
      </c>
      <c r="I31" s="91"/>
      <c r="J31" s="91"/>
      <c r="K31" s="91"/>
      <c r="L31" s="91"/>
      <c r="M31" s="91"/>
      <c r="N31" s="91">
        <f>N8/3</f>
        <v>6.3666666666666671</v>
      </c>
      <c r="O31" s="291">
        <f>SUM(O6:O8)/3</f>
        <v>18522.666666666668</v>
      </c>
      <c r="P31" s="290"/>
      <c r="Q31" s="91">
        <f>(Q6+Q7)/3</f>
        <v>20.58666666666667</v>
      </c>
      <c r="R31" s="91"/>
      <c r="S31" s="91"/>
      <c r="T31" s="91"/>
      <c r="U31" s="91"/>
      <c r="V31" s="91"/>
      <c r="W31" s="91">
        <f>W8/3</f>
        <v>6.5266666666666664</v>
      </c>
      <c r="X31" s="291">
        <f>SUM(X6:X8)/3</f>
        <v>20870</v>
      </c>
      <c r="Y31" s="292"/>
      <c r="Z31" s="305"/>
      <c r="AA31" s="319"/>
      <c r="AB31" s="320"/>
      <c r="AC31" s="307"/>
      <c r="AD31" s="308"/>
      <c r="AE31" s="308"/>
      <c r="AF31" s="308"/>
      <c r="AG31" s="308"/>
      <c r="AH31" s="308"/>
      <c r="AI31" s="308"/>
      <c r="AJ31" s="308"/>
      <c r="AK31" s="309"/>
      <c r="AL31" s="307"/>
      <c r="AM31" s="308"/>
      <c r="AN31" s="308"/>
      <c r="AO31" s="308"/>
      <c r="AP31" s="308"/>
      <c r="AQ31" s="308"/>
      <c r="AR31" s="308"/>
      <c r="AS31" s="308"/>
      <c r="AT31" s="309"/>
      <c r="AU31" s="298"/>
      <c r="AV31" s="298"/>
      <c r="AW31" s="298"/>
      <c r="AX31" s="298"/>
      <c r="AY31" s="298"/>
      <c r="AZ31" s="298"/>
      <c r="BA31" s="298"/>
      <c r="BB31" s="298"/>
      <c r="BC31" s="310"/>
      <c r="BD31" s="307"/>
      <c r="BE31" s="308"/>
      <c r="BF31" s="308"/>
      <c r="BG31" s="308"/>
      <c r="BH31" s="308"/>
      <c r="BI31" s="308"/>
      <c r="BJ31" s="308"/>
      <c r="BK31" s="308"/>
      <c r="BL31" s="309"/>
      <c r="BM31" s="307"/>
      <c r="BN31" s="308"/>
      <c r="BO31" s="308"/>
      <c r="BP31" s="308"/>
      <c r="BQ31" s="308"/>
      <c r="BR31" s="308"/>
      <c r="BS31" s="308"/>
      <c r="BT31" s="308"/>
      <c r="BU31" s="311"/>
      <c r="BV31" s="312"/>
      <c r="BW31" s="313"/>
      <c r="BX31" s="313"/>
      <c r="BY31" s="313"/>
      <c r="BZ31" s="313"/>
      <c r="CA31" s="313"/>
      <c r="CB31" s="313"/>
      <c r="CC31" s="313"/>
      <c r="CD31" s="314"/>
      <c r="CF31" s="302" t="str">
        <f t="shared" si="7"/>
        <v>komunalne publiczne</v>
      </c>
    </row>
    <row r="32" spans="1:84" ht="14.25" customHeight="1">
      <c r="A32" s="70" t="s">
        <v>261</v>
      </c>
      <c r="B32" s="70" t="s">
        <v>105</v>
      </c>
      <c r="C32" s="70"/>
      <c r="D32" s="70"/>
      <c r="E32" s="70" t="s">
        <v>215</v>
      </c>
      <c r="F32" s="289" t="s">
        <v>262</v>
      </c>
      <c r="G32" s="290"/>
      <c r="H32" s="91">
        <v>11.88</v>
      </c>
      <c r="I32" s="91"/>
      <c r="J32" s="91">
        <v>0.5</v>
      </c>
      <c r="K32" s="91"/>
      <c r="L32" s="91"/>
      <c r="M32" s="91"/>
      <c r="N32" s="91"/>
      <c r="O32" s="291">
        <v>1714.6</v>
      </c>
      <c r="P32" s="290"/>
      <c r="Q32" s="91">
        <v>11.879999999999999</v>
      </c>
      <c r="R32" s="91"/>
      <c r="S32" s="91">
        <v>0.5</v>
      </c>
      <c r="T32" s="91"/>
      <c r="U32" s="91"/>
      <c r="V32" s="91"/>
      <c r="W32" s="91"/>
      <c r="X32" s="291">
        <v>1714.6</v>
      </c>
      <c r="Y32" s="292"/>
      <c r="Z32" s="305"/>
      <c r="AA32" s="319"/>
      <c r="AB32" s="320"/>
      <c r="AC32" s="307"/>
      <c r="AD32" s="308"/>
      <c r="AE32" s="308"/>
      <c r="AF32" s="308"/>
      <c r="AG32" s="308"/>
      <c r="AH32" s="308"/>
      <c r="AI32" s="308"/>
      <c r="AJ32" s="308"/>
      <c r="AK32" s="309"/>
      <c r="AL32" s="307"/>
      <c r="AM32" s="308"/>
      <c r="AN32" s="308"/>
      <c r="AO32" s="308"/>
      <c r="AP32" s="308"/>
      <c r="AQ32" s="308"/>
      <c r="AR32" s="308"/>
      <c r="AS32" s="308"/>
      <c r="AT32" s="309"/>
      <c r="AU32" s="298"/>
      <c r="AV32" s="298"/>
      <c r="AW32" s="298"/>
      <c r="AX32" s="298"/>
      <c r="AY32" s="298"/>
      <c r="AZ32" s="298"/>
      <c r="BA32" s="298"/>
      <c r="BB32" s="298"/>
      <c r="BC32" s="310"/>
      <c r="BD32" s="307"/>
      <c r="BE32" s="308"/>
      <c r="BF32" s="308"/>
      <c r="BG32" s="308"/>
      <c r="BH32" s="308"/>
      <c r="BI32" s="308"/>
      <c r="BJ32" s="308"/>
      <c r="BK32" s="308"/>
      <c r="BL32" s="309"/>
      <c r="BM32" s="307"/>
      <c r="BN32" s="308"/>
      <c r="BO32" s="308"/>
      <c r="BP32" s="308"/>
      <c r="BQ32" s="308"/>
      <c r="BR32" s="308"/>
      <c r="BS32" s="308"/>
      <c r="BT32" s="308"/>
      <c r="BU32" s="311"/>
      <c r="BV32" s="312"/>
      <c r="BW32" s="313"/>
      <c r="BX32" s="313"/>
      <c r="BY32" s="313"/>
      <c r="BZ32" s="313"/>
      <c r="CA32" s="313"/>
      <c r="CB32" s="313"/>
      <c r="CC32" s="313"/>
      <c r="CD32" s="314"/>
      <c r="CF32" s="302" t="str">
        <f t="shared" si="7"/>
        <v>komunalne publiczne</v>
      </c>
    </row>
    <row r="33" spans="1:84" ht="14.25" customHeight="1">
      <c r="A33" s="70" t="s">
        <v>261</v>
      </c>
      <c r="B33" s="70" t="s">
        <v>121</v>
      </c>
      <c r="C33" s="70">
        <v>40</v>
      </c>
      <c r="D33" s="70"/>
      <c r="E33" s="70" t="s">
        <v>215</v>
      </c>
      <c r="F33" s="289" t="s">
        <v>263</v>
      </c>
      <c r="G33" s="290"/>
      <c r="H33" s="91">
        <f>SUM(H5:H11)/7</f>
        <v>31.228571428571428</v>
      </c>
      <c r="I33" s="91"/>
      <c r="J33" s="91">
        <f>J11/7</f>
        <v>0.2857142857142857</v>
      </c>
      <c r="K33" s="91"/>
      <c r="L33" s="91"/>
      <c r="M33" s="91"/>
      <c r="N33" s="91"/>
      <c r="O33" s="291">
        <f>SUM(O5:O11)/7</f>
        <v>18220.714285714286</v>
      </c>
      <c r="P33" s="290"/>
      <c r="Q33" s="91">
        <f>SUM(Q5:Q11)/7</f>
        <v>22.108571428571427</v>
      </c>
      <c r="R33" s="91"/>
      <c r="S33" s="91">
        <f>S11/7</f>
        <v>0.42857142857142855</v>
      </c>
      <c r="T33" s="91"/>
      <c r="U33" s="91"/>
      <c r="V33" s="91"/>
      <c r="W33" s="91"/>
      <c r="X33" s="291">
        <f>SUM(X5:X11)/7</f>
        <v>20886.811428571429</v>
      </c>
      <c r="Y33" s="292"/>
      <c r="Z33" s="305"/>
      <c r="AA33" s="319"/>
      <c r="AB33" s="320"/>
      <c r="AC33" s="307"/>
      <c r="AD33" s="308"/>
      <c r="AE33" s="308"/>
      <c r="AF33" s="308"/>
      <c r="AG33" s="308"/>
      <c r="AH33" s="308"/>
      <c r="AI33" s="308"/>
      <c r="AJ33" s="308"/>
      <c r="AK33" s="309"/>
      <c r="AL33" s="307"/>
      <c r="AM33" s="308"/>
      <c r="AN33" s="308"/>
      <c r="AO33" s="308"/>
      <c r="AP33" s="308"/>
      <c r="AQ33" s="308"/>
      <c r="AR33" s="308"/>
      <c r="AS33" s="308"/>
      <c r="AT33" s="309"/>
      <c r="AU33" s="298"/>
      <c r="AV33" s="298"/>
      <c r="AW33" s="298"/>
      <c r="AX33" s="298"/>
      <c r="AY33" s="298"/>
      <c r="AZ33" s="298"/>
      <c r="BA33" s="298"/>
      <c r="BB33" s="298"/>
      <c r="BC33" s="310"/>
      <c r="BD33" s="307"/>
      <c r="BE33" s="308"/>
      <c r="BF33" s="308"/>
      <c r="BG33" s="308"/>
      <c r="BH33" s="308"/>
      <c r="BI33" s="308"/>
      <c r="BJ33" s="308"/>
      <c r="BK33" s="308"/>
      <c r="BL33" s="309"/>
      <c r="BM33" s="307"/>
      <c r="BN33" s="308"/>
      <c r="BO33" s="308"/>
      <c r="BP33" s="308"/>
      <c r="BQ33" s="308"/>
      <c r="BR33" s="308"/>
      <c r="BS33" s="308"/>
      <c r="BT33" s="308"/>
      <c r="BU33" s="311"/>
      <c r="BV33" s="312"/>
      <c r="BW33" s="313"/>
      <c r="BX33" s="313"/>
      <c r="BY33" s="313"/>
      <c r="BZ33" s="313"/>
      <c r="CA33" s="313"/>
      <c r="CB33" s="313"/>
      <c r="CC33" s="313"/>
      <c r="CD33" s="314"/>
      <c r="CF33" s="302" t="str">
        <f t="shared" si="7"/>
        <v>komunalne publiczne</v>
      </c>
    </row>
    <row r="34" spans="1:84" ht="14.25" customHeight="1">
      <c r="A34" s="70" t="s">
        <v>264</v>
      </c>
      <c r="B34" s="70" t="s">
        <v>43</v>
      </c>
      <c r="C34" s="70"/>
      <c r="D34" s="70"/>
      <c r="E34" s="70" t="s">
        <v>215</v>
      </c>
      <c r="F34" s="289" t="s">
        <v>265</v>
      </c>
      <c r="G34" s="290"/>
      <c r="H34" s="91">
        <v>11.879999999999999</v>
      </c>
      <c r="I34" s="91"/>
      <c r="J34" s="91">
        <v>0.5</v>
      </c>
      <c r="K34" s="91"/>
      <c r="L34" s="91"/>
      <c r="M34" s="91"/>
      <c r="N34" s="91"/>
      <c r="O34" s="291">
        <v>1714.6</v>
      </c>
      <c r="P34" s="290"/>
      <c r="Q34" s="91">
        <v>11.879999999999999</v>
      </c>
      <c r="R34" s="91"/>
      <c r="S34" s="91">
        <v>0.5</v>
      </c>
      <c r="T34" s="91"/>
      <c r="U34" s="91"/>
      <c r="V34" s="91"/>
      <c r="W34" s="91"/>
      <c r="X34" s="291">
        <v>1714.6</v>
      </c>
      <c r="Y34" s="292"/>
      <c r="Z34" s="305"/>
      <c r="AA34" s="319"/>
      <c r="AB34" s="320"/>
      <c r="AC34" s="307"/>
      <c r="AD34" s="308"/>
      <c r="AE34" s="308"/>
      <c r="AF34" s="308"/>
      <c r="AG34" s="308"/>
      <c r="AH34" s="308"/>
      <c r="AI34" s="308"/>
      <c r="AJ34" s="308"/>
      <c r="AK34" s="309"/>
      <c r="AL34" s="307"/>
      <c r="AM34" s="308"/>
      <c r="AN34" s="308"/>
      <c r="AO34" s="308"/>
      <c r="AP34" s="308"/>
      <c r="AQ34" s="308"/>
      <c r="AR34" s="308"/>
      <c r="AS34" s="308"/>
      <c r="AT34" s="309"/>
      <c r="AU34" s="298"/>
      <c r="AV34" s="298"/>
      <c r="AW34" s="298"/>
      <c r="AX34" s="298"/>
      <c r="AY34" s="298"/>
      <c r="AZ34" s="298"/>
      <c r="BA34" s="298"/>
      <c r="BB34" s="298"/>
      <c r="BC34" s="310"/>
      <c r="BD34" s="307"/>
      <c r="BE34" s="308"/>
      <c r="BF34" s="308"/>
      <c r="BG34" s="308"/>
      <c r="BH34" s="308"/>
      <c r="BI34" s="308"/>
      <c r="BJ34" s="308"/>
      <c r="BK34" s="308"/>
      <c r="BL34" s="309"/>
      <c r="BM34" s="307"/>
      <c r="BN34" s="308"/>
      <c r="BO34" s="308"/>
      <c r="BP34" s="308"/>
      <c r="BQ34" s="308"/>
      <c r="BR34" s="308"/>
      <c r="BS34" s="308"/>
      <c r="BT34" s="308"/>
      <c r="BU34" s="311"/>
      <c r="BV34" s="312"/>
      <c r="BW34" s="313"/>
      <c r="BX34" s="313"/>
      <c r="BY34" s="313"/>
      <c r="BZ34" s="313"/>
      <c r="CA34" s="313"/>
      <c r="CB34" s="313"/>
      <c r="CC34" s="313"/>
      <c r="CD34" s="314"/>
      <c r="CF34" s="302" t="str">
        <f t="shared" si="7"/>
        <v>komunalne publiczne</v>
      </c>
    </row>
    <row r="35" spans="1:8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21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</row>
    <row r="36" spans="1:84">
      <c r="Q36" s="322"/>
      <c r="X36" s="323"/>
    </row>
    <row r="37" spans="1:84">
      <c r="Q37" s="322"/>
    </row>
    <row r="38" spans="1:84">
      <c r="Q38" s="322"/>
    </row>
    <row r="39" spans="1:84">
      <c r="Q39" s="322"/>
    </row>
  </sheetData>
  <mergeCells count="18">
    <mergeCell ref="BM3:BT3"/>
    <mergeCell ref="BV3:CC3"/>
    <mergeCell ref="BD2:BL2"/>
    <mergeCell ref="BM2:BU2"/>
    <mergeCell ref="BV2:CD2"/>
    <mergeCell ref="G3:N3"/>
    <mergeCell ref="P3:W3"/>
    <mergeCell ref="Z3:AA3"/>
    <mergeCell ref="AC3:AJ3"/>
    <mergeCell ref="AL3:AS3"/>
    <mergeCell ref="AU3:BB3"/>
    <mergeCell ref="BD3:BK3"/>
    <mergeCell ref="G2:O2"/>
    <mergeCell ref="P2:X2"/>
    <mergeCell ref="Z2:AB2"/>
    <mergeCell ref="AC2:AK2"/>
    <mergeCell ref="AL2:AT2"/>
    <mergeCell ref="AU2:B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T13" sqref="T13"/>
    </sheetView>
  </sheetViews>
  <sheetFormatPr defaultRowHeight="15"/>
  <cols>
    <col min="1" max="1" width="5.140625" customWidth="1"/>
    <col min="2" max="2" width="7.7109375" customWidth="1"/>
    <col min="3" max="3" width="7" customWidth="1"/>
    <col min="4" max="10" width="9.85546875" customWidth="1"/>
    <col min="11" max="17" width="6.140625" customWidth="1"/>
    <col min="18" max="25" width="5.5703125" customWidth="1"/>
    <col min="26" max="26" width="10.28515625" customWidth="1"/>
    <col min="27" max="27" width="8.5703125" customWidth="1"/>
    <col min="28" max="28" width="6.28515625" customWidth="1"/>
  </cols>
  <sheetData>
    <row r="1" spans="1:28" ht="15.75">
      <c r="A1" s="324" t="s">
        <v>266</v>
      </c>
      <c r="B1" s="324"/>
      <c r="C1" s="324"/>
      <c r="D1" s="324"/>
      <c r="E1" s="324"/>
      <c r="F1" s="324"/>
      <c r="G1" s="93"/>
      <c r="H1" s="93"/>
    </row>
    <row r="3" spans="1:28" ht="15.75" thickBot="1">
      <c r="A3" s="325" t="s">
        <v>267</v>
      </c>
      <c r="B3" s="325"/>
      <c r="C3" s="325"/>
      <c r="D3" s="325"/>
      <c r="E3" s="325"/>
      <c r="F3" s="325"/>
      <c r="G3" s="325"/>
      <c r="H3" s="325"/>
      <c r="I3" s="325"/>
      <c r="J3" s="325"/>
    </row>
    <row r="4" spans="1:28" ht="15" customHeight="1">
      <c r="A4" s="109" t="s">
        <v>161</v>
      </c>
      <c r="B4" s="326" t="s">
        <v>162</v>
      </c>
      <c r="C4" s="327" t="s">
        <v>268</v>
      </c>
      <c r="D4" s="328" t="s">
        <v>25</v>
      </c>
      <c r="E4" s="161" t="s">
        <v>26</v>
      </c>
      <c r="F4" s="162" t="s">
        <v>28</v>
      </c>
      <c r="G4" s="162" t="s">
        <v>30</v>
      </c>
      <c r="H4" s="162" t="s">
        <v>31</v>
      </c>
      <c r="I4" s="162" t="s">
        <v>32</v>
      </c>
      <c r="J4" s="163" t="s">
        <v>34</v>
      </c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</row>
    <row r="5" spans="1:28" ht="15.75" thickBot="1">
      <c r="A5" s="121"/>
      <c r="B5" s="330"/>
      <c r="C5" s="331"/>
      <c r="D5" s="332"/>
      <c r="E5" s="167"/>
      <c r="F5" s="168"/>
      <c r="G5" s="168"/>
      <c r="H5" s="168"/>
      <c r="I5" s="168"/>
      <c r="J5" s="170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</row>
    <row r="6" spans="1:28">
      <c r="A6" s="132">
        <v>2009</v>
      </c>
      <c r="B6" s="133" t="s">
        <v>215</v>
      </c>
      <c r="C6" s="333">
        <v>15</v>
      </c>
      <c r="D6" s="200">
        <f>SUMIF('[1]Ankiety_budynki publiczne'!$CE:$CE,'[1]Budynki publiczne'!$B6,'[1]Ankiety_budynki publiczne'!O:O)</f>
        <v>200265</v>
      </c>
      <c r="E6" s="334">
        <f>SUMIF('[1]Ankiety_budynki publiczne'!$CE:$CE,'[1]Budynki publiczne'!$B6,'[1]Ankiety_budynki publiczne'!H:H)</f>
        <v>375.71999999999997</v>
      </c>
      <c r="F6" s="335">
        <f>SUMIF('[1]Ankiety_budynki publiczne'!$CE:$CE,'[1]Budynki publiczne'!$B6,'[1]Ankiety_budynki publiczne'!J:J)</f>
        <v>3.5</v>
      </c>
      <c r="G6" s="336"/>
      <c r="H6" s="335">
        <f>SUMIF('[1]Ankiety_budynki publiczne'!$CE:$CE,'[1]Budynki publiczne'!$B6,'[1]Ankiety_budynki publiczne'!L:L)</f>
        <v>78570</v>
      </c>
      <c r="I6" s="336"/>
      <c r="J6" s="337">
        <f>SUMIF('[1]Ankiety_budynki publiczne'!$CE:$CE,'[1]Budynki publiczne'!$B6,'[1]Ankiety_budynki publiczne'!N:N)</f>
        <v>19.100000000000001</v>
      </c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</row>
    <row r="7" spans="1:28" ht="15.75" thickBot="1">
      <c r="A7" s="145">
        <v>2014</v>
      </c>
      <c r="B7" s="146" t="s">
        <v>215</v>
      </c>
      <c r="C7" s="338">
        <v>15</v>
      </c>
      <c r="D7" s="212">
        <f>SUMIF('[1]Ankiety_budynki publiczne'!CE:CE,B7,'[1]Ankiety_budynki publiczne'!X:X)</f>
        <v>223221.67</v>
      </c>
      <c r="E7" s="339">
        <f>SUMIF('[1]Ankiety_budynki publiczne'!$CE:$CE,$B7,'[1]Ankiety_budynki publiczne'!Q:Q)</f>
        <v>287.07</v>
      </c>
      <c r="F7" s="340">
        <f>SUMIF('[1]Ankiety_budynki publiczne'!$CE:$CE,$B7,'[1]Ankiety_budynki publiczne'!S:S)</f>
        <v>6</v>
      </c>
      <c r="G7" s="341"/>
      <c r="H7" s="340">
        <f>SUMIF('[1]Ankiety_budynki publiczne'!$CE:$CE,$B7,'[1]Ankiety_budynki publiczne'!U:U)</f>
        <v>86427</v>
      </c>
      <c r="I7" s="341"/>
      <c r="J7" s="342">
        <f>SUMIF('[1]Ankiety_budynki publiczne'!$CE:$CE,$B7,'[1]Ankiety_budynki publiczne'!W:W)</f>
        <v>19.579999999999998</v>
      </c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</row>
    <row r="8" spans="1:28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</row>
    <row r="9" spans="1:28" ht="15.75" thickBot="1">
      <c r="A9" s="325" t="s">
        <v>269</v>
      </c>
      <c r="B9" s="325"/>
      <c r="C9" s="325"/>
      <c r="D9" s="325"/>
      <c r="E9" s="325"/>
      <c r="F9" s="325"/>
      <c r="G9" s="325"/>
      <c r="H9" s="325"/>
      <c r="I9" s="325"/>
      <c r="J9" s="325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</row>
    <row r="10" spans="1:28" ht="15" customHeight="1">
      <c r="A10" s="109" t="s">
        <v>161</v>
      </c>
      <c r="B10" s="326" t="s">
        <v>162</v>
      </c>
      <c r="C10" s="327" t="s">
        <v>268</v>
      </c>
      <c r="D10" s="328" t="s">
        <v>25</v>
      </c>
      <c r="E10" s="161" t="s">
        <v>26</v>
      </c>
      <c r="F10" s="162" t="s">
        <v>28</v>
      </c>
      <c r="G10" s="162" t="s">
        <v>30</v>
      </c>
      <c r="H10" s="162" t="s">
        <v>31</v>
      </c>
      <c r="I10" s="162" t="s">
        <v>32</v>
      </c>
      <c r="J10" s="163" t="s">
        <v>34</v>
      </c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</row>
    <row r="11" spans="1:28" ht="15.75" thickBot="1">
      <c r="A11" s="121"/>
      <c r="B11" s="330"/>
      <c r="C11" s="331"/>
      <c r="D11" s="332"/>
      <c r="E11" s="167"/>
      <c r="F11" s="168"/>
      <c r="G11" s="168"/>
      <c r="H11" s="168"/>
      <c r="I11" s="168"/>
      <c r="J11" s="170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</row>
    <row r="12" spans="1:28">
      <c r="A12" s="132">
        <v>2009</v>
      </c>
      <c r="B12" s="133" t="s">
        <v>215</v>
      </c>
      <c r="C12" s="333">
        <v>15</v>
      </c>
      <c r="D12" s="343">
        <f>SUMIF('[1]Ankiety_budynki publiczne'!$CF:$CF,$B12,'[1]Ankiety_budynki publiczne'!O:O)</f>
        <v>134816.09095238097</v>
      </c>
      <c r="E12" s="334">
        <f>SUMIF('[1]Ankiety_budynki publiczne'!$CF:$CF,$B12,'[1]Ankiety_budynki publiczne'!H:H)</f>
        <v>281.45523809523809</v>
      </c>
      <c r="F12" s="335">
        <f>SUMIF('[1]Ankiety_budynki publiczne'!$CF:$CF,$B12,'[1]Ankiety_budynki publiczne'!J:J)</f>
        <v>3.6190476190476191</v>
      </c>
      <c r="G12" s="336"/>
      <c r="H12" s="336"/>
      <c r="I12" s="336"/>
      <c r="J12" s="337">
        <f>SUMIF('[1]Ankiety_budynki publiczne'!$CF:$CF,$B12,'[1]Ankiety_budynki publiczne'!N:N)</f>
        <v>6.3666666666666671</v>
      </c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</row>
    <row r="13" spans="1:28" ht="15.75" thickBot="1">
      <c r="A13" s="145">
        <v>2014</v>
      </c>
      <c r="B13" s="146" t="s">
        <v>215</v>
      </c>
      <c r="C13" s="338">
        <v>15</v>
      </c>
      <c r="D13" s="344">
        <f>SUMIF('[1]Ankiety_budynki publiczne'!CF:CF,B13,'[1]Ankiety_budynki publiczne'!X:X)</f>
        <v>145759.89742857145</v>
      </c>
      <c r="E13" s="339">
        <f>SUMIF('[1]Ankiety_budynki publiczne'!$CF:$CF,$B13,'[1]Ankiety_budynki publiczne'!Q:Q)</f>
        <v>225.88457142857146</v>
      </c>
      <c r="F13" s="340">
        <f>SUMIF('[1]Ankiety_budynki publiczne'!$CF:$CF,$B13,'[1]Ankiety_budynki publiczne'!S:S)</f>
        <v>4.1785714285714288</v>
      </c>
      <c r="G13" s="341"/>
      <c r="H13" s="341"/>
      <c r="I13" s="341"/>
      <c r="J13" s="342">
        <f>SUMIF('[1]Ankiety_budynki publiczne'!$CF:$CF,$B13,'[1]Ankiety_budynki publiczne'!W:W)</f>
        <v>6.5266666666666664</v>
      </c>
      <c r="K13" s="329"/>
    </row>
    <row r="14" spans="1:28" ht="15.75" thickBot="1">
      <c r="A14" s="329"/>
      <c r="B14" s="329"/>
      <c r="C14" s="329"/>
      <c r="D14" s="329"/>
      <c r="E14" s="329"/>
      <c r="F14" s="329"/>
      <c r="G14" s="329"/>
      <c r="H14" s="329"/>
      <c r="I14" s="329"/>
      <c r="J14" s="329"/>
      <c r="K14" s="329"/>
    </row>
    <row r="15" spans="1:28" ht="15.75" thickBot="1">
      <c r="A15" s="345" t="s">
        <v>270</v>
      </c>
      <c r="B15" s="345"/>
      <c r="C15" s="345"/>
      <c r="D15" s="345"/>
      <c r="E15" s="345"/>
      <c r="F15" s="345"/>
      <c r="G15" s="345"/>
      <c r="H15" s="345"/>
      <c r="I15" s="329"/>
      <c r="J15" s="329"/>
      <c r="K15" s="346" t="s">
        <v>188</v>
      </c>
      <c r="L15" s="347"/>
      <c r="M15" s="347"/>
      <c r="N15" s="347"/>
      <c r="O15" s="347"/>
      <c r="P15" s="347"/>
      <c r="Q15" s="347"/>
      <c r="R15" s="348" t="s">
        <v>207</v>
      </c>
      <c r="S15" s="349"/>
      <c r="T15" s="349"/>
      <c r="U15" s="349"/>
      <c r="V15" s="349"/>
      <c r="W15" s="349"/>
      <c r="X15" s="349"/>
      <c r="Y15" s="350"/>
      <c r="Z15" s="329"/>
      <c r="AA15" s="329"/>
      <c r="AB15" s="329"/>
    </row>
    <row r="16" spans="1:28" ht="57" thickBot="1">
      <c r="A16" s="109" t="s">
        <v>161</v>
      </c>
      <c r="B16" s="326" t="s">
        <v>162</v>
      </c>
      <c r="C16" s="327" t="s">
        <v>268</v>
      </c>
      <c r="D16" s="328" t="s">
        <v>25</v>
      </c>
      <c r="E16" s="161" t="s">
        <v>26</v>
      </c>
      <c r="F16" s="162" t="s">
        <v>28</v>
      </c>
      <c r="G16" s="162" t="s">
        <v>271</v>
      </c>
      <c r="H16" s="163" t="s">
        <v>34</v>
      </c>
      <c r="I16" s="329"/>
      <c r="K16" s="235" t="s">
        <v>189</v>
      </c>
      <c r="L16" s="236" t="s">
        <v>190</v>
      </c>
      <c r="M16" s="236" t="s">
        <v>191</v>
      </c>
      <c r="N16" s="236" t="s">
        <v>192</v>
      </c>
      <c r="O16" s="236" t="s">
        <v>193</v>
      </c>
      <c r="P16" s="351" t="s">
        <v>194</v>
      </c>
      <c r="Q16" s="351" t="s">
        <v>195</v>
      </c>
      <c r="R16" s="352" t="s">
        <v>208</v>
      </c>
      <c r="S16" s="353" t="s">
        <v>181</v>
      </c>
      <c r="T16" s="353" t="s">
        <v>182</v>
      </c>
      <c r="U16" s="353" t="s">
        <v>183</v>
      </c>
      <c r="V16" s="353" t="s">
        <v>167</v>
      </c>
      <c r="W16" s="353" t="s">
        <v>168</v>
      </c>
      <c r="X16" s="353" t="s">
        <v>169</v>
      </c>
      <c r="Y16" s="354" t="s">
        <v>186</v>
      </c>
      <c r="Z16" s="329"/>
      <c r="AA16" s="329"/>
      <c r="AB16" s="329"/>
    </row>
    <row r="17" spans="1:28" ht="15.75" thickBot="1">
      <c r="A17" s="121"/>
      <c r="B17" s="330"/>
      <c r="C17" s="331"/>
      <c r="D17" s="332"/>
      <c r="E17" s="167"/>
      <c r="F17" s="168"/>
      <c r="G17" s="168"/>
      <c r="H17" s="170"/>
      <c r="I17" s="329"/>
      <c r="K17" s="204">
        <v>21.76</v>
      </c>
      <c r="L17" s="205">
        <v>25.8</v>
      </c>
      <c r="M17" s="205">
        <v>15.6</v>
      </c>
      <c r="N17" s="205">
        <v>18</v>
      </c>
      <c r="O17" s="206">
        <v>47.31</v>
      </c>
      <c r="P17" s="207">
        <v>31</v>
      </c>
      <c r="Q17" s="355">
        <v>40.4</v>
      </c>
      <c r="R17" s="238">
        <v>1.1910000000000001</v>
      </c>
      <c r="S17" s="239">
        <v>0.35399999999999998</v>
      </c>
      <c r="T17" s="239">
        <v>0.34100000000000003</v>
      </c>
      <c r="U17" s="239">
        <v>0</v>
      </c>
      <c r="V17" s="239">
        <v>0</v>
      </c>
      <c r="W17" s="240">
        <v>0.23100000000000001</v>
      </c>
      <c r="X17" s="241">
        <v>0.20200000000000001</v>
      </c>
      <c r="Y17" s="356">
        <v>0.27900000000000003</v>
      </c>
      <c r="Z17" s="357" t="s">
        <v>196</v>
      </c>
      <c r="AA17" s="358">
        <v>620</v>
      </c>
      <c r="AB17" s="359" t="s">
        <v>197</v>
      </c>
    </row>
    <row r="18" spans="1:28">
      <c r="A18" s="132">
        <v>2009</v>
      </c>
      <c r="B18" s="133" t="s">
        <v>215</v>
      </c>
      <c r="C18" s="333">
        <f t="shared" ref="C18:F19" si="0">C6+C12</f>
        <v>30</v>
      </c>
      <c r="D18" s="200">
        <f>D6+D12</f>
        <v>335081.09095238097</v>
      </c>
      <c r="E18" s="360">
        <f>E6+E12</f>
        <v>657.175238095238</v>
      </c>
      <c r="F18" s="361">
        <f t="shared" si="0"/>
        <v>7.1190476190476186</v>
      </c>
      <c r="G18" s="361">
        <f>H6+H12</f>
        <v>78570</v>
      </c>
      <c r="H18" s="362">
        <f>J6+J12</f>
        <v>25.466666666666669</v>
      </c>
      <c r="I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63" t="s">
        <v>198</v>
      </c>
      <c r="AA18" s="364">
        <v>2.777778E-4</v>
      </c>
      <c r="AB18" s="365" t="s">
        <v>199</v>
      </c>
    </row>
    <row r="19" spans="1:28" ht="15.75" thickBot="1">
      <c r="A19" s="145">
        <v>2014</v>
      </c>
      <c r="B19" s="146" t="s">
        <v>215</v>
      </c>
      <c r="C19" s="338">
        <f t="shared" si="0"/>
        <v>30</v>
      </c>
      <c r="D19" s="212">
        <f t="shared" si="0"/>
        <v>368981.56742857146</v>
      </c>
      <c r="E19" s="366">
        <f>E7+E13</f>
        <v>512.9545714285714</v>
      </c>
      <c r="F19" s="367">
        <f t="shared" si="0"/>
        <v>10.178571428571429</v>
      </c>
      <c r="G19" s="368">
        <f>H7+H13</f>
        <v>86427</v>
      </c>
      <c r="H19" s="369">
        <f>J7+J13</f>
        <v>26.106666666666666</v>
      </c>
      <c r="I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63" t="s">
        <v>201</v>
      </c>
      <c r="AA19" s="364">
        <v>860</v>
      </c>
      <c r="AB19" s="365" t="s">
        <v>272</v>
      </c>
    </row>
    <row r="20" spans="1:28" ht="15.75" thickBot="1">
      <c r="A20" s="329"/>
      <c r="B20" s="329"/>
      <c r="C20" s="329"/>
      <c r="D20" s="329"/>
      <c r="E20" s="329"/>
      <c r="F20" s="329"/>
      <c r="G20" s="329"/>
      <c r="H20" s="329"/>
      <c r="I20" s="329"/>
      <c r="K20" s="329"/>
      <c r="L20" s="370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71" t="s">
        <v>201</v>
      </c>
      <c r="AA20" s="372">
        <v>0.86</v>
      </c>
      <c r="AB20" s="373" t="s">
        <v>203</v>
      </c>
    </row>
    <row r="21" spans="1:28" ht="15.75" thickBot="1">
      <c r="A21" s="345" t="s">
        <v>273</v>
      </c>
      <c r="B21" s="345"/>
      <c r="C21" s="345"/>
      <c r="D21" s="345"/>
      <c r="E21" s="345"/>
      <c r="F21" s="345"/>
      <c r="G21" s="345"/>
      <c r="H21" s="345"/>
      <c r="I21" s="345"/>
      <c r="AB21" s="329"/>
    </row>
    <row r="22" spans="1:28">
      <c r="A22" s="109" t="s">
        <v>161</v>
      </c>
      <c r="B22" s="326" t="s">
        <v>162</v>
      </c>
      <c r="C22" s="327" t="s">
        <v>268</v>
      </c>
      <c r="D22" s="328" t="s">
        <v>180</v>
      </c>
      <c r="E22" s="161" t="s">
        <v>164</v>
      </c>
      <c r="F22" s="162" t="s">
        <v>166</v>
      </c>
      <c r="G22" s="162" t="s">
        <v>184</v>
      </c>
      <c r="H22" s="163" t="s">
        <v>170</v>
      </c>
      <c r="I22" s="374" t="s">
        <v>187</v>
      </c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</row>
    <row r="23" spans="1:28" ht="15.75" thickBot="1">
      <c r="A23" s="121"/>
      <c r="B23" s="330"/>
      <c r="C23" s="331"/>
      <c r="D23" s="332"/>
      <c r="E23" s="167"/>
      <c r="F23" s="168"/>
      <c r="G23" s="168"/>
      <c r="H23" s="170"/>
      <c r="I23" s="375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</row>
    <row r="24" spans="1:28" ht="15.75" thickBot="1">
      <c r="A24" s="132">
        <v>2009</v>
      </c>
      <c r="B24" s="133" t="s">
        <v>215</v>
      </c>
      <c r="C24" s="333">
        <v>30</v>
      </c>
      <c r="D24" s="200">
        <f>D18/1000</f>
        <v>335.08109095238098</v>
      </c>
      <c r="E24" s="376">
        <f>E18*1000*K17*AA18</f>
        <v>3972.2595347119536</v>
      </c>
      <c r="F24" s="361">
        <f>F18*$M$17*$AA$17*$AA$18</f>
        <v>19.126509466628569</v>
      </c>
      <c r="G24" s="361">
        <f>G18*$P$17*$AA$18</f>
        <v>676.57505412599994</v>
      </c>
      <c r="H24" s="377">
        <f>H18*AA19*Q17*AA18</f>
        <v>245.78164929216001</v>
      </c>
      <c r="I24" s="378">
        <f>SUM(D24:H24)</f>
        <v>5248.8238385491231</v>
      </c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</row>
    <row r="25" spans="1:28" ht="15.75" thickBot="1">
      <c r="A25" s="145">
        <v>2014</v>
      </c>
      <c r="B25" s="146" t="s">
        <v>215</v>
      </c>
      <c r="C25" s="338">
        <v>30</v>
      </c>
      <c r="D25" s="212">
        <f>D19/1000</f>
        <v>368.98156742857145</v>
      </c>
      <c r="E25" s="379">
        <f>E19*1000*K17*AA18</f>
        <v>3100.5256575658423</v>
      </c>
      <c r="F25" s="368">
        <f>F19*$M$17*$AA$17*$AA$18</f>
        <v>27.346430759142855</v>
      </c>
      <c r="G25" s="380">
        <f>G19*$P$17*$AA$18</f>
        <v>744.23255953859996</v>
      </c>
      <c r="H25" s="366">
        <f>H19*AA19*Q17*AA18</f>
        <v>251.95836089740797</v>
      </c>
      <c r="I25" s="381">
        <f>SUM(D25:H25)</f>
        <v>4493.0445761895644</v>
      </c>
      <c r="J25" s="329"/>
      <c r="K25" s="329"/>
      <c r="L25" s="329"/>
      <c r="M25" s="382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</row>
    <row r="26" spans="1:28" ht="15.75" thickBot="1">
      <c r="A26" s="329"/>
      <c r="B26" s="221" t="s">
        <v>200</v>
      </c>
      <c r="C26" s="221"/>
      <c r="D26" s="222">
        <f>IFERROR(100%-(D24/D25),"-")</f>
        <v>9.1875799413077774E-2</v>
      </c>
      <c r="E26" s="222">
        <f>IFERROR(100%-(E24/E25),"-")</f>
        <v>-0.28115680159553702</v>
      </c>
      <c r="F26" s="222">
        <f t="shared" ref="F26:H26" si="1">IFERROR(100%-(F24/F25),"-")</f>
        <v>0.30058479532163751</v>
      </c>
      <c r="G26" s="222">
        <f t="shared" si="1"/>
        <v>9.0909090909090939E-2</v>
      </c>
      <c r="H26" s="383">
        <f t="shared" si="1"/>
        <v>2.4514811031664752E-2</v>
      </c>
      <c r="I26" s="223">
        <f>IFERROR(100%-(I24/I25),"-")</f>
        <v>-0.1682109423896514</v>
      </c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</row>
    <row r="27" spans="1:28">
      <c r="A27" s="329"/>
      <c r="B27" s="384"/>
      <c r="C27" s="384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</row>
    <row r="28" spans="1:28" ht="18.75" thickBot="1">
      <c r="A28" s="345" t="s">
        <v>274</v>
      </c>
      <c r="B28" s="345"/>
      <c r="C28" s="345"/>
      <c r="D28" s="345"/>
      <c r="E28" s="345"/>
      <c r="F28" s="345"/>
      <c r="G28" s="345"/>
      <c r="H28" s="345"/>
      <c r="I28" s="345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</row>
    <row r="29" spans="1:28">
      <c r="A29" s="109" t="s">
        <v>161</v>
      </c>
      <c r="B29" s="326" t="s">
        <v>162</v>
      </c>
      <c r="C29" s="327" t="s">
        <v>268</v>
      </c>
      <c r="D29" s="328" t="s">
        <v>180</v>
      </c>
      <c r="E29" s="161" t="s">
        <v>164</v>
      </c>
      <c r="F29" s="162" t="s">
        <v>166</v>
      </c>
      <c r="G29" s="162" t="s">
        <v>184</v>
      </c>
      <c r="H29" s="163" t="s">
        <v>170</v>
      </c>
      <c r="I29" s="374" t="s">
        <v>187</v>
      </c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</row>
    <row r="30" spans="1:28" ht="15.75" thickBot="1">
      <c r="A30" s="121"/>
      <c r="B30" s="330"/>
      <c r="C30" s="331"/>
      <c r="D30" s="332"/>
      <c r="E30" s="167"/>
      <c r="F30" s="168"/>
      <c r="G30" s="168"/>
      <c r="H30" s="170"/>
      <c r="I30" s="375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</row>
    <row r="31" spans="1:28">
      <c r="A31" s="132">
        <v>2009</v>
      </c>
      <c r="B31" s="133" t="s">
        <v>215</v>
      </c>
      <c r="C31" s="333">
        <v>30</v>
      </c>
      <c r="D31" s="200">
        <f>D24*R17</f>
        <v>399.08157932428577</v>
      </c>
      <c r="E31" s="376">
        <f>E24*S17</f>
        <v>1406.1798752880316</v>
      </c>
      <c r="F31" s="361">
        <f>F24*$U$17</f>
        <v>0</v>
      </c>
      <c r="G31" s="361">
        <f>G24*$X$17</f>
        <v>136.66816093345199</v>
      </c>
      <c r="H31" s="377">
        <f>H24*Y17</f>
        <v>68.573080152512645</v>
      </c>
      <c r="I31" s="385">
        <f>SUM(D31:H31)</f>
        <v>2010.5026956982817</v>
      </c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</row>
    <row r="32" spans="1:28" ht="15.75" thickBot="1">
      <c r="A32" s="145">
        <v>2014</v>
      </c>
      <c r="B32" s="146" t="s">
        <v>215</v>
      </c>
      <c r="C32" s="338">
        <v>30</v>
      </c>
      <c r="D32" s="212">
        <f>D25*R17</f>
        <v>439.45704680742864</v>
      </c>
      <c r="E32" s="379">
        <f>E25*S17</f>
        <v>1097.5860827783081</v>
      </c>
      <c r="F32" s="368">
        <f>F25*$U$17</f>
        <v>0</v>
      </c>
      <c r="G32" s="380">
        <f>G25*$X$17</f>
        <v>150.33497702679719</v>
      </c>
      <c r="H32" s="366">
        <f>H25*Y17</f>
        <v>70.296382690376831</v>
      </c>
      <c r="I32" s="381">
        <f>SUM(D32:H32)</f>
        <v>1757.6744893029106</v>
      </c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</row>
    <row r="33" spans="1:28" ht="15.75" thickBot="1">
      <c r="A33" s="329"/>
      <c r="B33" s="221" t="s">
        <v>200</v>
      </c>
      <c r="C33" s="221"/>
      <c r="D33" s="222">
        <f>IFERROR(100%-(D31/D32),"-")</f>
        <v>9.1875799413077885E-2</v>
      </c>
      <c r="E33" s="222">
        <f t="shared" ref="E33" si="2">IFERROR(100%-(E31/E32),"-")</f>
        <v>-0.28115680159553702</v>
      </c>
      <c r="F33" s="222" t="str">
        <f>IFERROR(100%-(F31/F32),"-")</f>
        <v>-</v>
      </c>
      <c r="G33" s="222">
        <f>IFERROR(100%-(G31/G32),"-")</f>
        <v>9.0909090909090939E-2</v>
      </c>
      <c r="H33" s="383">
        <f>IFERROR(100%-(H31/H32),"-")</f>
        <v>2.4514811031664863E-2</v>
      </c>
      <c r="I33" s="223">
        <f>IFERROR(100%-(I31/I32),"-")</f>
        <v>-0.14384245088272407</v>
      </c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</row>
  </sheetData>
  <mergeCells count="48">
    <mergeCell ref="I29:I30"/>
    <mergeCell ref="B33:C33"/>
    <mergeCell ref="I22:I23"/>
    <mergeCell ref="B26:C26"/>
    <mergeCell ref="A29:A30"/>
    <mergeCell ref="B29:B30"/>
    <mergeCell ref="C29:C30"/>
    <mergeCell ref="D29:D30"/>
    <mergeCell ref="E29:E30"/>
    <mergeCell ref="F29:F30"/>
    <mergeCell ref="G29:G30"/>
    <mergeCell ref="H29:H30"/>
    <mergeCell ref="G16:G17"/>
    <mergeCell ref="H16:H17"/>
    <mergeCell ref="A22:A23"/>
    <mergeCell ref="B22:B23"/>
    <mergeCell ref="C22:C23"/>
    <mergeCell ref="D22:D23"/>
    <mergeCell ref="E22:E23"/>
    <mergeCell ref="F22:F23"/>
    <mergeCell ref="G22:G23"/>
    <mergeCell ref="H22:H23"/>
    <mergeCell ref="G10:G11"/>
    <mergeCell ref="H10:H11"/>
    <mergeCell ref="I10:I11"/>
    <mergeCell ref="J10:J11"/>
    <mergeCell ref="A16:A17"/>
    <mergeCell ref="B16:B17"/>
    <mergeCell ref="C16:C17"/>
    <mergeCell ref="D16:D17"/>
    <mergeCell ref="E16:E17"/>
    <mergeCell ref="F16:F17"/>
    <mergeCell ref="G4:G5"/>
    <mergeCell ref="H4:H5"/>
    <mergeCell ref="I4:I5"/>
    <mergeCell ref="J4:J5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2"/>
  <sheetViews>
    <sheetView workbookViewId="0">
      <selection activeCell="K24" sqref="K24"/>
    </sheetView>
  </sheetViews>
  <sheetFormatPr defaultRowHeight="15"/>
  <cols>
    <col min="1" max="1" width="20.28515625" customWidth="1"/>
    <col min="2" max="2" width="7.140625" customWidth="1"/>
    <col min="3" max="3" width="7.28515625" customWidth="1"/>
    <col min="4" max="4" width="8.5703125" customWidth="1"/>
    <col min="5" max="10" width="9.42578125" customWidth="1"/>
    <col min="11" max="11" width="10.28515625" customWidth="1"/>
    <col min="13" max="13" width="7.42578125" customWidth="1"/>
    <col min="14" max="21" width="7.28515625" customWidth="1"/>
    <col min="22" max="22" width="5.42578125" customWidth="1"/>
  </cols>
  <sheetData>
    <row r="1" spans="1:30" ht="16.5" thickBot="1">
      <c r="A1" s="324" t="s">
        <v>275</v>
      </c>
      <c r="B1" s="386"/>
      <c r="C1" s="101"/>
      <c r="D1" s="101"/>
      <c r="E1" s="4"/>
      <c r="F1" s="4"/>
      <c r="G1" s="4"/>
      <c r="H1" s="4"/>
      <c r="I1" s="4"/>
      <c r="J1" s="4"/>
      <c r="M1" s="387" t="s">
        <v>276</v>
      </c>
      <c r="N1" s="388"/>
      <c r="O1" s="389">
        <v>2009</v>
      </c>
      <c r="P1" s="390">
        <v>2014</v>
      </c>
      <c r="W1" s="391"/>
      <c r="X1" s="391"/>
      <c r="Y1" s="391"/>
      <c r="Z1" s="392"/>
      <c r="AA1" s="392"/>
      <c r="AB1" s="392"/>
      <c r="AC1" s="392"/>
      <c r="AD1" s="393"/>
    </row>
    <row r="2" spans="1:30" ht="15.75" thickBot="1">
      <c r="A2" s="4"/>
      <c r="B2" s="4"/>
      <c r="C2" s="394" t="s">
        <v>277</v>
      </c>
      <c r="D2" s="394"/>
      <c r="E2" s="394"/>
      <c r="F2" s="394"/>
      <c r="G2" s="394"/>
      <c r="H2" s="394"/>
      <c r="I2" s="394"/>
      <c r="J2" s="394"/>
      <c r="K2" s="395"/>
      <c r="L2" s="4"/>
      <c r="M2" s="396" t="s">
        <v>278</v>
      </c>
      <c r="N2" s="397"/>
      <c r="O2" s="397"/>
      <c r="P2" s="398"/>
      <c r="W2" s="391"/>
      <c r="X2" s="391"/>
      <c r="Y2" s="391"/>
      <c r="Z2" s="392"/>
      <c r="AA2" s="392"/>
      <c r="AB2" s="392"/>
      <c r="AC2" s="392"/>
      <c r="AD2" s="393"/>
    </row>
    <row r="3" spans="1:30" ht="15" customHeight="1">
      <c r="C3" s="109" t="s">
        <v>161</v>
      </c>
      <c r="D3" s="399" t="s">
        <v>279</v>
      </c>
      <c r="E3" s="400" t="s">
        <v>164</v>
      </c>
      <c r="F3" s="401" t="s">
        <v>165</v>
      </c>
      <c r="G3" s="401" t="s">
        <v>166</v>
      </c>
      <c r="H3" s="401" t="s">
        <v>167</v>
      </c>
      <c r="I3" s="401" t="s">
        <v>169</v>
      </c>
      <c r="J3" s="402" t="s">
        <v>170</v>
      </c>
      <c r="L3" s="4"/>
      <c r="M3" s="403" t="s">
        <v>280</v>
      </c>
      <c r="N3" s="404" t="s">
        <v>281</v>
      </c>
      <c r="O3" s="405">
        <v>307</v>
      </c>
      <c r="P3" s="406">
        <v>375</v>
      </c>
      <c r="W3" s="391"/>
      <c r="X3" s="391"/>
      <c r="Y3" s="391"/>
      <c r="Z3" s="407"/>
      <c r="AA3" s="407"/>
      <c r="AB3" s="407"/>
      <c r="AC3" s="407"/>
      <c r="AD3" s="393"/>
    </row>
    <row r="4" spans="1:30" ht="15.75" thickBot="1">
      <c r="C4" s="121"/>
      <c r="D4" s="408"/>
      <c r="E4" s="409"/>
      <c r="F4" s="410"/>
      <c r="G4" s="410"/>
      <c r="H4" s="410"/>
      <c r="I4" s="410"/>
      <c r="J4" s="411"/>
      <c r="L4" s="4"/>
      <c r="M4" s="412" t="s">
        <v>282</v>
      </c>
      <c r="N4" s="413" t="s">
        <v>283</v>
      </c>
      <c r="O4" s="414">
        <v>29</v>
      </c>
      <c r="P4" s="415">
        <v>26</v>
      </c>
      <c r="W4" s="416"/>
      <c r="X4" s="416"/>
      <c r="Y4" s="416"/>
      <c r="Z4" s="417"/>
      <c r="AA4" s="418"/>
      <c r="AB4" s="417"/>
      <c r="AC4" s="418"/>
      <c r="AD4" s="393"/>
    </row>
    <row r="5" spans="1:30">
      <c r="C5" s="419">
        <v>2009</v>
      </c>
      <c r="D5" s="420">
        <f>O13+O14</f>
        <v>230</v>
      </c>
      <c r="E5" s="135">
        <v>0.95</v>
      </c>
      <c r="F5" s="136">
        <v>0.1</v>
      </c>
      <c r="G5" s="136">
        <f>E5</f>
        <v>0.95</v>
      </c>
      <c r="H5" s="136">
        <v>0.01</v>
      </c>
      <c r="I5" s="136">
        <v>1.344688E-2</v>
      </c>
      <c r="J5" s="137">
        <f>3/D5</f>
        <v>1.3043478260869565E-2</v>
      </c>
      <c r="L5" s="4"/>
      <c r="M5" s="412" t="s">
        <v>284</v>
      </c>
      <c r="N5" s="413" t="s">
        <v>285</v>
      </c>
      <c r="O5" s="414">
        <v>5</v>
      </c>
      <c r="P5" s="415">
        <v>4</v>
      </c>
      <c r="W5" s="416"/>
      <c r="X5" s="416"/>
      <c r="Y5" s="416"/>
      <c r="Z5" s="421"/>
      <c r="AA5" s="422"/>
      <c r="AB5" s="421"/>
      <c r="AC5" s="422"/>
      <c r="AD5" s="393"/>
    </row>
    <row r="6" spans="1:30" ht="16.5" customHeight="1" thickBot="1">
      <c r="C6" s="423">
        <v>2014</v>
      </c>
      <c r="D6" s="424">
        <f>P13+P14</f>
        <v>169</v>
      </c>
      <c r="E6" s="148">
        <v>0.9</v>
      </c>
      <c r="F6" s="149">
        <v>0.25</v>
      </c>
      <c r="G6" s="149">
        <f>E6</f>
        <v>0.9</v>
      </c>
      <c r="H6" s="149">
        <v>0.05</v>
      </c>
      <c r="I6" s="149">
        <v>2.228544E-2</v>
      </c>
      <c r="J6" s="150">
        <f>3/D6</f>
        <v>1.7751479289940829E-2</v>
      </c>
      <c r="L6" s="4"/>
      <c r="M6" s="425" t="s">
        <v>286</v>
      </c>
      <c r="N6" s="426" t="s">
        <v>287</v>
      </c>
      <c r="O6" s="427">
        <v>0</v>
      </c>
      <c r="P6" s="428">
        <v>1</v>
      </c>
      <c r="W6" s="429"/>
      <c r="X6" s="429"/>
      <c r="Y6" s="429"/>
      <c r="Z6" s="430"/>
      <c r="AA6" s="430"/>
      <c r="AB6" s="421"/>
      <c r="AC6" s="422"/>
      <c r="AD6" s="393"/>
    </row>
    <row r="7" spans="1:30">
      <c r="C7" s="187"/>
      <c r="D7" s="431"/>
      <c r="E7" s="432"/>
      <c r="F7" s="159"/>
      <c r="G7" s="159"/>
      <c r="H7" s="159"/>
      <c r="I7" s="159"/>
      <c r="J7" s="159"/>
      <c r="K7" s="4"/>
      <c r="L7" s="4"/>
      <c r="M7" s="433" t="s">
        <v>288</v>
      </c>
      <c r="N7" s="434"/>
      <c r="O7" s="434"/>
      <c r="P7" s="435"/>
      <c r="U7" s="3"/>
      <c r="V7" s="3"/>
      <c r="W7" s="416"/>
      <c r="X7" s="416"/>
      <c r="Y7" s="416"/>
      <c r="Z7" s="421"/>
      <c r="AA7" s="422"/>
      <c r="AB7" s="421"/>
      <c r="AC7" s="422"/>
      <c r="AD7" s="393"/>
    </row>
    <row r="8" spans="1:30">
      <c r="M8" s="436" t="s">
        <v>289</v>
      </c>
      <c r="N8" s="437"/>
      <c r="O8" s="438">
        <v>227</v>
      </c>
      <c r="P8" s="439">
        <v>165</v>
      </c>
      <c r="W8" s="429"/>
      <c r="X8" s="429"/>
      <c r="Y8" s="429"/>
      <c r="Z8" s="430"/>
      <c r="AA8" s="430"/>
      <c r="AB8" s="421"/>
      <c r="AC8" s="422"/>
      <c r="AD8" s="393"/>
    </row>
    <row r="9" spans="1:30" ht="15.75" thickBot="1">
      <c r="A9" s="440" t="s">
        <v>290</v>
      </c>
      <c r="B9" s="440"/>
      <c r="C9" s="440"/>
      <c r="D9" s="440"/>
      <c r="E9" s="440"/>
      <c r="F9" s="440"/>
      <c r="G9" s="440"/>
      <c r="H9" s="440"/>
      <c r="I9" s="440"/>
      <c r="J9" s="440"/>
      <c r="M9" s="441" t="s">
        <v>287</v>
      </c>
      <c r="N9" s="442"/>
      <c r="O9" s="443">
        <v>0</v>
      </c>
      <c r="P9" s="444">
        <v>4</v>
      </c>
      <c r="W9" s="416"/>
      <c r="X9" s="416"/>
      <c r="Y9" s="416"/>
      <c r="Z9" s="445"/>
      <c r="AA9" s="446"/>
      <c r="AB9" s="445"/>
      <c r="AC9" s="446"/>
      <c r="AD9" s="393"/>
    </row>
    <row r="10" spans="1:30">
      <c r="A10" s="447" t="s">
        <v>291</v>
      </c>
      <c r="B10" s="448" t="s">
        <v>292</v>
      </c>
      <c r="C10" s="449" t="s">
        <v>161</v>
      </c>
      <c r="D10" s="450" t="s">
        <v>279</v>
      </c>
      <c r="E10" s="400" t="s">
        <v>293</v>
      </c>
      <c r="F10" s="401" t="s">
        <v>294</v>
      </c>
      <c r="G10" s="401" t="s">
        <v>28</v>
      </c>
      <c r="H10" s="401" t="s">
        <v>295</v>
      </c>
      <c r="I10" s="451" t="s">
        <v>296</v>
      </c>
      <c r="J10" s="452" t="s">
        <v>297</v>
      </c>
      <c r="L10" s="453"/>
      <c r="M10" s="433" t="s">
        <v>298</v>
      </c>
      <c r="N10" s="434"/>
      <c r="O10" s="434"/>
      <c r="P10" s="435"/>
      <c r="Q10" s="454"/>
      <c r="R10" s="454"/>
      <c r="S10" s="454"/>
      <c r="T10" s="454"/>
      <c r="W10" s="393"/>
      <c r="X10" s="393"/>
      <c r="Y10" s="393"/>
      <c r="Z10" s="393"/>
      <c r="AA10" s="393"/>
      <c r="AB10" s="393"/>
      <c r="AC10" s="393"/>
      <c r="AD10" s="393"/>
    </row>
    <row r="11" spans="1:30" ht="15.75" thickBot="1">
      <c r="A11" s="455"/>
      <c r="B11" s="456"/>
      <c r="C11" s="457"/>
      <c r="D11" s="458"/>
      <c r="E11" s="409"/>
      <c r="F11" s="410"/>
      <c r="G11" s="410"/>
      <c r="H11" s="410"/>
      <c r="I11" s="459"/>
      <c r="J11" s="460"/>
      <c r="L11" s="453"/>
      <c r="M11" s="441" t="s">
        <v>287</v>
      </c>
      <c r="N11" s="442"/>
      <c r="O11" s="443">
        <v>3</v>
      </c>
      <c r="P11" s="444">
        <v>4</v>
      </c>
      <c r="Q11" s="461"/>
      <c r="R11" s="462"/>
      <c r="S11" s="463"/>
      <c r="T11" s="463"/>
      <c r="W11" s="393"/>
      <c r="X11" s="393"/>
      <c r="Y11" s="393"/>
      <c r="Z11" s="393"/>
      <c r="AA11" s="393"/>
      <c r="AB11" s="393"/>
      <c r="AC11" s="393"/>
      <c r="AD11" s="393"/>
    </row>
    <row r="12" spans="1:30">
      <c r="A12" s="464" t="s">
        <v>299</v>
      </c>
      <c r="B12" s="465" t="s">
        <v>45</v>
      </c>
      <c r="C12" s="466">
        <v>2009</v>
      </c>
      <c r="D12" s="467">
        <f>O13</f>
        <v>227</v>
      </c>
      <c r="E12" s="468">
        <f>AVERAGEIF([1]Ankietyzacja_dane!$BR:$BR,'[1]Sektor usługowy'!$B12,[1]Ankietyzacja_dane!Q:Q)</f>
        <v>18.907857142857143</v>
      </c>
      <c r="F12" s="469">
        <f>AVERAGEIF([1]Ankietyzacja_dane!$BR:$BR,'[1]Sektor usługowy'!$B12,[1]Ankietyzacja_dane!R:R)</f>
        <v>14.38</v>
      </c>
      <c r="G12" s="469">
        <f>AVERAGEIF([1]Ankietyzacja_dane!$BR:$BR,'[1]Sektor usługowy'!$B12,[1]Ankietyzacja_dane!S:S)</f>
        <v>1.9714285714285715</v>
      </c>
      <c r="H12" s="469">
        <f>AVERAGEIF([1]Ankietyzacja_dane!$BR:$BR,'[1]Sektor usługowy'!$B12,[1]Ankietyzacja_dane!U:U)</f>
        <v>10</v>
      </c>
      <c r="I12" s="470"/>
      <c r="J12" s="471">
        <f>AVERAGEIF([1]Ankietyzacja_dane!$BR:$BR,'[1]Sektor usługowy'!$B12,[1]Ankietyzacja_dane!Y:Y)</f>
        <v>25</v>
      </c>
      <c r="M12" s="472" t="s">
        <v>300</v>
      </c>
      <c r="N12" s="473"/>
      <c r="O12" s="473"/>
      <c r="P12" s="474"/>
      <c r="Q12" s="461"/>
      <c r="R12" s="462"/>
      <c r="S12" s="463"/>
      <c r="T12" s="463"/>
      <c r="Z12" s="475"/>
      <c r="AA12" s="475"/>
      <c r="AB12" s="475"/>
      <c r="AC12" s="475"/>
    </row>
    <row r="13" spans="1:30">
      <c r="A13" s="476" t="s">
        <v>301</v>
      </c>
      <c r="B13" s="465"/>
      <c r="C13" s="477"/>
      <c r="D13" s="478"/>
      <c r="E13" s="468">
        <f>'[1]Sektor mieszkalny'!E12</f>
        <v>8.1542307692307681</v>
      </c>
      <c r="F13" s="469">
        <f>'[1]Sektor mieszkalny'!F12</f>
        <v>5.6818181818181817</v>
      </c>
      <c r="G13" s="469">
        <f>'[1]Sektor mieszkalny'!H12</f>
        <v>4.5</v>
      </c>
      <c r="H13" s="469">
        <f>'[1]Sektor mieszkalny'!I12</f>
        <v>1.24</v>
      </c>
      <c r="I13" s="470"/>
      <c r="J13" s="471">
        <f>'[1]Sektor mieszkalny'!M12</f>
        <v>1.71</v>
      </c>
      <c r="M13" s="436" t="s">
        <v>289</v>
      </c>
      <c r="N13" s="437"/>
      <c r="O13" s="438">
        <f>O8</f>
        <v>227</v>
      </c>
      <c r="P13" s="439">
        <f>P8</f>
        <v>165</v>
      </c>
      <c r="Q13" s="461"/>
      <c r="R13" s="462"/>
      <c r="S13" s="463"/>
      <c r="T13" s="463"/>
      <c r="Z13" s="475"/>
      <c r="AA13" s="475"/>
      <c r="AB13" s="475"/>
      <c r="AC13" s="475"/>
    </row>
    <row r="14" spans="1:30" ht="15.75" thickBot="1">
      <c r="A14" s="476" t="s">
        <v>302</v>
      </c>
      <c r="B14" s="465"/>
      <c r="C14" s="477"/>
      <c r="D14" s="478"/>
      <c r="E14" s="135">
        <v>0.95</v>
      </c>
      <c r="F14" s="136">
        <v>0.1</v>
      </c>
      <c r="G14" s="479">
        <f>E14</f>
        <v>0.95</v>
      </c>
      <c r="H14" s="479">
        <v>0.01</v>
      </c>
      <c r="I14" s="470"/>
      <c r="J14" s="480"/>
      <c r="M14" s="441" t="s">
        <v>287</v>
      </c>
      <c r="N14" s="442"/>
      <c r="O14" s="443">
        <f>O11</f>
        <v>3</v>
      </c>
      <c r="P14" s="444">
        <f>P11</f>
        <v>4</v>
      </c>
      <c r="Q14" s="461"/>
      <c r="R14" s="462"/>
      <c r="S14" s="463"/>
      <c r="T14" s="463"/>
    </row>
    <row r="15" spans="1:30" ht="15.75" thickBot="1">
      <c r="A15" s="481" t="s">
        <v>303</v>
      </c>
      <c r="B15" s="482"/>
      <c r="C15" s="483"/>
      <c r="D15" s="484"/>
      <c r="E15" s="485">
        <f>E13*D12*E14</f>
        <v>1758.4598653846149</v>
      </c>
      <c r="F15" s="486">
        <f>AVERAGE(F12:F13)*D12*F14</f>
        <v>227.70163636363637</v>
      </c>
      <c r="G15" s="486">
        <f>AVERAGE(G12:G13)*D12*G14</f>
        <v>697.78178571428566</v>
      </c>
      <c r="H15" s="486">
        <f>AVERAGE(H12:H13)*D12*H14</f>
        <v>12.757400000000001</v>
      </c>
      <c r="I15" s="487"/>
      <c r="J15" s="488">
        <f>J12+J13*2</f>
        <v>28.42</v>
      </c>
    </row>
    <row r="16" spans="1:30">
      <c r="A16" s="464" t="s">
        <v>299</v>
      </c>
      <c r="B16" s="465" t="s">
        <v>45</v>
      </c>
      <c r="C16" s="466">
        <v>2014</v>
      </c>
      <c r="D16" s="467">
        <f>P13</f>
        <v>165</v>
      </c>
      <c r="E16" s="468">
        <f>AVERAGEIF([1]Ankietyzacja_dane!$BR:$BR,'[1]Sektor usługowy'!$B16,[1]Ankietyzacja_dane!AC:AC)</f>
        <v>14.022142857142857</v>
      </c>
      <c r="F16" s="469">
        <f>AVERAGEIF([1]Ankietyzacja_dane!$BR:$BR,'[1]Sektor usługowy'!$B16,[1]Ankietyzacja_dane!AD:AD)</f>
        <v>10.53</v>
      </c>
      <c r="G16" s="469">
        <f>AVERAGEIF([1]Ankietyzacja_dane!$BR:$BR,'[1]Sektor usługowy'!$B16,[1]Ankietyzacja_dane!AE:AE)</f>
        <v>2.9285714285714284</v>
      </c>
      <c r="H16" s="469">
        <f>AVERAGEIF([1]Ankietyzacja_dane!$BR:$BR,'[1]Sektor usługowy'!$B16,[1]Ankietyzacja_dane!AG:AG)</f>
        <v>10</v>
      </c>
      <c r="I16" s="470"/>
      <c r="J16" s="471">
        <f>AVERAGEIF([1]Ankietyzacja_dane!$BR:$BR,'[1]Sektor usługowy'!$B16,[1]Ankietyzacja_dane!AK:AK)</f>
        <v>20</v>
      </c>
    </row>
    <row r="17" spans="1:16">
      <c r="A17" s="476" t="s">
        <v>301</v>
      </c>
      <c r="B17" s="465"/>
      <c r="C17" s="477"/>
      <c r="D17" s="478"/>
      <c r="E17" s="468">
        <f>'[1]Sektor mieszkalny'!E13</f>
        <v>7.475090909090909</v>
      </c>
      <c r="F17" s="469">
        <f>'[1]Sektor mieszkalny'!F13</f>
        <v>5.0649999999999995</v>
      </c>
      <c r="G17" s="469">
        <f>'[1]Sektor mieszkalny'!G13</f>
        <v>3.8208333333333333</v>
      </c>
      <c r="H17" s="469">
        <f>'[1]Sektor mieszkalny'!I13</f>
        <v>2.5</v>
      </c>
      <c r="I17" s="470"/>
      <c r="J17" s="471">
        <f>'[1]Sektor mieszkalny'!M13</f>
        <v>1.7230000000000001</v>
      </c>
    </row>
    <row r="18" spans="1:16" ht="15.75" thickBot="1">
      <c r="A18" s="476" t="s">
        <v>302</v>
      </c>
      <c r="B18" s="465"/>
      <c r="C18" s="477"/>
      <c r="D18" s="478"/>
      <c r="E18" s="489">
        <v>0.9</v>
      </c>
      <c r="F18" s="149">
        <v>0.25</v>
      </c>
      <c r="G18" s="490">
        <f>E18</f>
        <v>0.9</v>
      </c>
      <c r="H18" s="490">
        <v>0.05</v>
      </c>
      <c r="I18" s="470"/>
      <c r="J18" s="491"/>
    </row>
    <row r="19" spans="1:16" ht="15.75" thickBot="1">
      <c r="A19" s="481" t="s">
        <v>303</v>
      </c>
      <c r="B19" s="482"/>
      <c r="C19" s="483"/>
      <c r="D19" s="484"/>
      <c r="E19" s="485">
        <f>E17*D16*E18</f>
        <v>1110.0509999999999</v>
      </c>
      <c r="F19" s="486">
        <f>AVERAGE(F16:F17)*D16*F18</f>
        <v>321.64687499999997</v>
      </c>
      <c r="G19" s="486">
        <f>AVERAGE(G16:G17)*D16*G18</f>
        <v>501.14330357142859</v>
      </c>
      <c r="H19" s="486">
        <f>AVERAGE(H16:H17)*D16*H18</f>
        <v>51.5625</v>
      </c>
      <c r="I19" s="487"/>
      <c r="J19" s="488">
        <f>J16+J17*2</f>
        <v>23.446000000000002</v>
      </c>
    </row>
    <row r="22" spans="1:16" ht="15.75" thickBot="1">
      <c r="A22" s="440" t="s">
        <v>304</v>
      </c>
      <c r="B22" s="440"/>
      <c r="C22" s="440"/>
      <c r="D22" s="440"/>
      <c r="E22" s="440"/>
      <c r="F22" s="440"/>
      <c r="G22" s="440"/>
      <c r="H22" s="440"/>
      <c r="I22" s="440"/>
      <c r="J22" s="440"/>
      <c r="O22" s="322"/>
      <c r="P22" s="322"/>
    </row>
    <row r="23" spans="1:16" ht="14.25" customHeight="1">
      <c r="A23" s="447" t="s">
        <v>291</v>
      </c>
      <c r="B23" s="448" t="s">
        <v>292</v>
      </c>
      <c r="C23" s="449" t="s">
        <v>161</v>
      </c>
      <c r="D23" s="450" t="s">
        <v>279</v>
      </c>
      <c r="E23" s="112" t="s">
        <v>293</v>
      </c>
      <c r="F23" s="113" t="s">
        <v>294</v>
      </c>
      <c r="G23" s="113" t="s">
        <v>28</v>
      </c>
      <c r="H23" s="113" t="s">
        <v>295</v>
      </c>
      <c r="I23" s="492" t="s">
        <v>296</v>
      </c>
      <c r="J23" s="452" t="s">
        <v>297</v>
      </c>
    </row>
    <row r="24" spans="1:16" ht="15.75" thickBot="1">
      <c r="A24" s="455"/>
      <c r="B24" s="456"/>
      <c r="C24" s="457"/>
      <c r="D24" s="458"/>
      <c r="E24" s="124"/>
      <c r="F24" s="125"/>
      <c r="G24" s="125"/>
      <c r="H24" s="125"/>
      <c r="I24" s="493"/>
      <c r="J24" s="460"/>
    </row>
    <row r="25" spans="1:16">
      <c r="A25" s="494" t="s">
        <v>299</v>
      </c>
      <c r="B25" s="495" t="s">
        <v>45</v>
      </c>
      <c r="C25" s="496">
        <v>2009</v>
      </c>
      <c r="D25" s="497">
        <f>O14</f>
        <v>3</v>
      </c>
      <c r="E25" s="498">
        <f>[1]Ankietyzacja_dane!Q16+[1]Ankietyzacja_dane!Q20</f>
        <v>246.2</v>
      </c>
      <c r="F25" s="470"/>
      <c r="G25" s="470"/>
      <c r="H25" s="470"/>
      <c r="I25" s="470"/>
      <c r="J25" s="499"/>
    </row>
    <row r="26" spans="1:16">
      <c r="A26" s="500" t="s">
        <v>301</v>
      </c>
      <c r="B26" s="501"/>
      <c r="C26" s="502"/>
      <c r="D26" s="503"/>
      <c r="E26" s="504"/>
      <c r="F26" s="470"/>
      <c r="G26" s="470"/>
      <c r="H26" s="470"/>
      <c r="I26" s="470"/>
      <c r="J26" s="499"/>
    </row>
    <row r="27" spans="1:16">
      <c r="A27" s="505" t="s">
        <v>302</v>
      </c>
      <c r="B27" s="506"/>
      <c r="C27" s="507"/>
      <c r="D27" s="508"/>
      <c r="E27" s="509"/>
      <c r="F27" s="470"/>
      <c r="G27" s="470"/>
      <c r="H27" s="470"/>
      <c r="I27" s="470"/>
      <c r="J27" s="499"/>
    </row>
    <row r="28" spans="1:16" ht="15.75" thickBot="1">
      <c r="A28" s="481" t="s">
        <v>303</v>
      </c>
      <c r="B28" s="482"/>
      <c r="C28" s="483"/>
      <c r="D28" s="484"/>
      <c r="E28" s="485">
        <f>E25</f>
        <v>246.2</v>
      </c>
      <c r="F28" s="486"/>
      <c r="G28" s="486"/>
      <c r="H28" s="486"/>
      <c r="I28" s="487"/>
      <c r="J28" s="488"/>
    </row>
    <row r="29" spans="1:16">
      <c r="A29" s="494" t="s">
        <v>299</v>
      </c>
      <c r="B29" s="495" t="s">
        <v>45</v>
      </c>
      <c r="C29" s="496">
        <v>2014</v>
      </c>
      <c r="D29" s="497">
        <v>4</v>
      </c>
      <c r="E29" s="510">
        <f>[1]Ankietyzacja_dane!AC16+[1]Ankietyzacja_dane!AC20</f>
        <v>218.24</v>
      </c>
      <c r="F29" s="470"/>
      <c r="G29" s="470"/>
      <c r="H29" s="470"/>
      <c r="I29" s="470"/>
      <c r="J29" s="499"/>
    </row>
    <row r="30" spans="1:16">
      <c r="A30" s="500" t="s">
        <v>301</v>
      </c>
      <c r="B30" s="501"/>
      <c r="C30" s="502"/>
      <c r="D30" s="503"/>
      <c r="E30" s="468"/>
      <c r="F30" s="470"/>
      <c r="G30" s="470"/>
      <c r="H30" s="470"/>
      <c r="I30" s="470"/>
      <c r="J30" s="499"/>
    </row>
    <row r="31" spans="1:16">
      <c r="A31" s="505" t="s">
        <v>302</v>
      </c>
      <c r="B31" s="506"/>
      <c r="C31" s="507"/>
      <c r="D31" s="508"/>
      <c r="E31" s="509"/>
      <c r="F31" s="470"/>
      <c r="G31" s="470"/>
      <c r="H31" s="470"/>
      <c r="I31" s="470"/>
      <c r="J31" s="499"/>
    </row>
    <row r="32" spans="1:16" ht="15.75" thickBot="1">
      <c r="A32" s="481" t="s">
        <v>303</v>
      </c>
      <c r="B32" s="482"/>
      <c r="C32" s="483"/>
      <c r="D32" s="484"/>
      <c r="E32" s="485">
        <f>E29</f>
        <v>218.24</v>
      </c>
      <c r="F32" s="486"/>
      <c r="G32" s="486"/>
      <c r="H32" s="486"/>
      <c r="I32" s="487"/>
      <c r="J32" s="488"/>
    </row>
    <row r="34" spans="3:31" ht="15.75" thickBot="1">
      <c r="C34" s="511" t="s">
        <v>305</v>
      </c>
      <c r="D34" s="511"/>
      <c r="E34" s="511"/>
      <c r="F34" s="511"/>
      <c r="G34" s="511"/>
      <c r="H34" s="511"/>
      <c r="I34" s="511"/>
      <c r="J34" s="511"/>
      <c r="K34" s="511"/>
    </row>
    <row r="35" spans="3:31">
      <c r="C35" s="512" t="s">
        <v>161</v>
      </c>
      <c r="D35" s="513" t="s">
        <v>279</v>
      </c>
      <c r="E35" s="514" t="s">
        <v>293</v>
      </c>
      <c r="F35" s="515" t="s">
        <v>294</v>
      </c>
      <c r="G35" s="515" t="s">
        <v>28</v>
      </c>
      <c r="H35" s="515" t="s">
        <v>295</v>
      </c>
      <c r="I35" s="516" t="s">
        <v>296</v>
      </c>
      <c r="J35" s="517" t="s">
        <v>297</v>
      </c>
      <c r="K35" s="518" t="s">
        <v>306</v>
      </c>
    </row>
    <row r="36" spans="3:31" ht="24" customHeight="1" thickBot="1">
      <c r="C36" s="519"/>
      <c r="D36" s="520"/>
      <c r="E36" s="521"/>
      <c r="F36" s="410"/>
      <c r="G36" s="410"/>
      <c r="H36" s="410"/>
      <c r="I36" s="459"/>
      <c r="J36" s="522"/>
      <c r="K36" s="523"/>
    </row>
    <row r="37" spans="3:31">
      <c r="C37" s="524">
        <v>2009</v>
      </c>
      <c r="D37" s="525">
        <f>D12</f>
        <v>227</v>
      </c>
      <c r="E37" s="526">
        <f>E15+E28</f>
        <v>2004.6598653846149</v>
      </c>
      <c r="F37" s="527">
        <f>F15</f>
        <v>227.70163636363637</v>
      </c>
      <c r="G37" s="527">
        <f>G15</f>
        <v>697.78178571428566</v>
      </c>
      <c r="H37" s="528">
        <f>H15</f>
        <v>12.757400000000001</v>
      </c>
      <c r="I37" s="529">
        <v>106600</v>
      </c>
      <c r="J37" s="530">
        <f>J15</f>
        <v>28.42</v>
      </c>
      <c r="K37" s="531">
        <f>[1]PGNiG_Tauron!E30</f>
        <v>1651.6789090476191</v>
      </c>
    </row>
    <row r="38" spans="3:31" ht="15.75" thickBot="1">
      <c r="C38" s="532">
        <v>2014</v>
      </c>
      <c r="D38" s="533">
        <f>D6</f>
        <v>169</v>
      </c>
      <c r="E38" s="534">
        <f>E19+E32</f>
        <v>1328.2909999999999</v>
      </c>
      <c r="F38" s="535">
        <f>F19</f>
        <v>321.64687499999997</v>
      </c>
      <c r="G38" s="535">
        <f>G19</f>
        <v>501.14330357142859</v>
      </c>
      <c r="H38" s="536">
        <f>H19</f>
        <v>51.5625</v>
      </c>
      <c r="I38" s="537">
        <v>149700</v>
      </c>
      <c r="J38" s="538">
        <f>J19</f>
        <v>23.446000000000002</v>
      </c>
      <c r="K38" s="539">
        <f>[1]PGNiG_Tauron!G30</f>
        <v>2437.2894325714278</v>
      </c>
    </row>
    <row r="40" spans="3:31" ht="15.75" thickBot="1">
      <c r="C40" s="540" t="s">
        <v>307</v>
      </c>
      <c r="D40" s="540"/>
      <c r="E40" s="540"/>
      <c r="F40" s="540"/>
      <c r="G40" s="540"/>
      <c r="H40" s="540"/>
      <c r="I40" s="540"/>
      <c r="J40" s="540"/>
      <c r="K40" s="540"/>
      <c r="L40" s="540"/>
    </row>
    <row r="41" spans="3:31" ht="15.75" thickBot="1">
      <c r="C41" s="512" t="s">
        <v>161</v>
      </c>
      <c r="D41" s="513" t="s">
        <v>279</v>
      </c>
      <c r="E41" s="400" t="s">
        <v>164</v>
      </c>
      <c r="F41" s="401" t="s">
        <v>165</v>
      </c>
      <c r="G41" s="401" t="s">
        <v>166</v>
      </c>
      <c r="H41" s="401" t="s">
        <v>167</v>
      </c>
      <c r="I41" s="541" t="s">
        <v>169</v>
      </c>
      <c r="J41" s="542" t="s">
        <v>186</v>
      </c>
      <c r="K41" s="543" t="s">
        <v>180</v>
      </c>
      <c r="L41" s="374" t="s">
        <v>187</v>
      </c>
      <c r="N41" s="544" t="s">
        <v>188</v>
      </c>
      <c r="O41" s="545"/>
      <c r="P41" s="545"/>
      <c r="Q41" s="545"/>
      <c r="R41" s="545"/>
      <c r="S41" s="545"/>
      <c r="T41" s="546"/>
      <c r="U41" s="243"/>
    </row>
    <row r="42" spans="3:31" ht="41.25" customHeight="1" thickBot="1">
      <c r="C42" s="519"/>
      <c r="D42" s="520"/>
      <c r="E42" s="409"/>
      <c r="F42" s="410"/>
      <c r="G42" s="410"/>
      <c r="H42" s="410"/>
      <c r="I42" s="547"/>
      <c r="J42" s="522"/>
      <c r="K42" s="548"/>
      <c r="L42" s="375"/>
      <c r="N42" s="549" t="s">
        <v>189</v>
      </c>
      <c r="O42" s="550" t="s">
        <v>190</v>
      </c>
      <c r="P42" s="550" t="s">
        <v>191</v>
      </c>
      <c r="Q42" s="550" t="s">
        <v>192</v>
      </c>
      <c r="R42" s="550" t="s">
        <v>308</v>
      </c>
      <c r="S42" s="551" t="s">
        <v>309</v>
      </c>
      <c r="T42" s="552" t="s">
        <v>195</v>
      </c>
      <c r="U42" s="243"/>
      <c r="AC42" s="4"/>
      <c r="AD42" s="4"/>
      <c r="AE42" s="4"/>
    </row>
    <row r="43" spans="3:31" ht="15.75" thickBot="1">
      <c r="C43" s="524">
        <v>2009</v>
      </c>
      <c r="D43" s="525">
        <f>D37</f>
        <v>227</v>
      </c>
      <c r="E43" s="553">
        <f>E37*1000*N43*X45</f>
        <v>12117.056155689201</v>
      </c>
      <c r="F43" s="554">
        <f>F37*1000*O43*X45</f>
        <v>1631.8618578216656</v>
      </c>
      <c r="G43" s="554">
        <f>G37*X43*P43*X45</f>
        <v>1874.7072142622794</v>
      </c>
      <c r="H43" s="554">
        <f>H37*1000*Q43*X45</f>
        <v>63.787005102959995</v>
      </c>
      <c r="I43" s="555">
        <f>I37*S43*X45</f>
        <v>917.94451788000003</v>
      </c>
      <c r="J43" s="556">
        <f>J37*$X$46*$X$45*$T$43</f>
        <v>274.28459972054401</v>
      </c>
      <c r="K43" s="557">
        <f>K37</f>
        <v>1651.6789090476191</v>
      </c>
      <c r="L43" s="558">
        <f>SUM(E43:K43)</f>
        <v>18531.320259524269</v>
      </c>
      <c r="N43" s="204">
        <v>21.76</v>
      </c>
      <c r="O43" s="205">
        <v>25.8</v>
      </c>
      <c r="P43" s="205">
        <v>15.6</v>
      </c>
      <c r="Q43" s="205">
        <v>18</v>
      </c>
      <c r="R43" s="206">
        <v>47.31</v>
      </c>
      <c r="S43" s="207">
        <v>31</v>
      </c>
      <c r="T43" s="208">
        <v>40.4</v>
      </c>
      <c r="U43" s="243"/>
      <c r="W43" s="559" t="s">
        <v>196</v>
      </c>
      <c r="X43" s="560">
        <v>620</v>
      </c>
      <c r="Y43" s="561" t="s">
        <v>197</v>
      </c>
    </row>
    <row r="44" spans="3:31" ht="15.75" thickBot="1">
      <c r="C44" s="532">
        <v>2014</v>
      </c>
      <c r="D44" s="533">
        <f>D38</f>
        <v>169</v>
      </c>
      <c r="E44" s="562">
        <f>E38*1000*N43*X45</f>
        <v>8028.7817978580488</v>
      </c>
      <c r="F44" s="563">
        <f>F38*1000*O43*X45</f>
        <v>2305.1361219108749</v>
      </c>
      <c r="G44" s="563">
        <f>G38*X43*P43*X45</f>
        <v>1346.4051166409722</v>
      </c>
      <c r="H44" s="563">
        <f>H38*1000*Q43*X45</f>
        <v>257.81252062499999</v>
      </c>
      <c r="I44" s="564">
        <f>I38*S43*X45</f>
        <v>1289.08343646</v>
      </c>
      <c r="J44" s="565">
        <f>J38*$X$46*$X$45*$T$43</f>
        <v>226.2799692135072</v>
      </c>
      <c r="K44" s="566">
        <f>K38</f>
        <v>2437.2894325714278</v>
      </c>
      <c r="L44" s="567">
        <f>SUM(E44:K44)</f>
        <v>15890.788395279829</v>
      </c>
      <c r="N44" s="243"/>
      <c r="O44" s="243"/>
      <c r="P44" s="243"/>
      <c r="Q44" s="243"/>
      <c r="R44" s="329"/>
      <c r="S44" s="329"/>
      <c r="T44" s="329"/>
      <c r="U44" s="329"/>
      <c r="W44" s="568"/>
      <c r="X44" s="569"/>
      <c r="Y44" s="570"/>
    </row>
    <row r="45" spans="3:31">
      <c r="C45" s="571"/>
      <c r="D45" s="222" t="s">
        <v>310</v>
      </c>
      <c r="E45" s="222">
        <f>IFERROR(100%-(E43/E44),"-")</f>
        <v>-0.50920232493076822</v>
      </c>
      <c r="F45" s="222">
        <f>IFERROR(100%-(F43/F44),"-")</f>
        <v>0.29207570767278124</v>
      </c>
      <c r="G45" s="222">
        <f>IFERROR(100%-(G43/G44),"-")</f>
        <v>-0.39237974595589908</v>
      </c>
      <c r="H45" s="222">
        <f>IFERROR(100%-(H43/H44),"-")</f>
        <v>0.75258375757575757</v>
      </c>
      <c r="I45" s="222">
        <f t="shared" ref="I45:J45" si="0">IFERROR(100%-(I43/I44),"-")</f>
        <v>0.28790915163660658</v>
      </c>
      <c r="J45" s="222">
        <f t="shared" si="0"/>
        <v>-0.21214706133242345</v>
      </c>
      <c r="K45" s="222">
        <f>IFERROR(100%-(K43/K44),"-")</f>
        <v>0.32232959821064888</v>
      </c>
      <c r="L45" s="222">
        <f>IFERROR(100%-(L43/L44),"-")</f>
        <v>-0.16616745491550189</v>
      </c>
      <c r="N45" s="329"/>
      <c r="O45" s="329"/>
      <c r="P45" s="329"/>
      <c r="Q45" s="329"/>
      <c r="R45" s="329"/>
      <c r="S45" s="329"/>
      <c r="T45" s="329"/>
      <c r="U45" s="329"/>
      <c r="V45" s="4"/>
      <c r="W45" s="572" t="s">
        <v>198</v>
      </c>
      <c r="X45" s="573">
        <v>2.777778E-4</v>
      </c>
      <c r="Y45" s="574" t="s">
        <v>199</v>
      </c>
      <c r="Z45" s="4"/>
      <c r="AA45" s="4"/>
      <c r="AB45" s="4"/>
    </row>
    <row r="46" spans="3:31">
      <c r="N46" s="329"/>
      <c r="O46" s="329"/>
      <c r="P46" s="329"/>
      <c r="Q46" s="329"/>
      <c r="R46" s="329"/>
      <c r="S46" s="329"/>
      <c r="T46" s="329"/>
      <c r="U46" s="329"/>
      <c r="V46" s="4"/>
      <c r="W46" s="572" t="s">
        <v>201</v>
      </c>
      <c r="X46" s="573">
        <v>860</v>
      </c>
      <c r="Y46" s="574" t="s">
        <v>272</v>
      </c>
      <c r="Z46" s="4"/>
      <c r="AA46" s="4"/>
      <c r="AB46" s="4"/>
    </row>
    <row r="47" spans="3:31" ht="18.75" thickBot="1">
      <c r="C47" s="540" t="s">
        <v>311</v>
      </c>
      <c r="D47" s="540"/>
      <c r="E47" s="540"/>
      <c r="F47" s="540"/>
      <c r="G47" s="540"/>
      <c r="H47" s="540"/>
      <c r="I47" s="540"/>
      <c r="J47" s="540"/>
      <c r="K47" s="540"/>
      <c r="L47" s="540"/>
      <c r="N47" s="243"/>
      <c r="O47" s="243"/>
      <c r="P47" s="243"/>
      <c r="Q47" s="243"/>
      <c r="R47" s="243"/>
      <c r="S47" s="243"/>
      <c r="T47" s="243"/>
      <c r="U47" s="243"/>
      <c r="W47" s="575" t="s">
        <v>201</v>
      </c>
      <c r="X47" s="576">
        <v>0.86</v>
      </c>
      <c r="Y47" s="577" t="s">
        <v>203</v>
      </c>
    </row>
    <row r="48" spans="3:31" ht="15" customHeight="1" thickBot="1">
      <c r="C48" s="512" t="s">
        <v>161</v>
      </c>
      <c r="D48" s="513" t="s">
        <v>279</v>
      </c>
      <c r="E48" s="400" t="s">
        <v>164</v>
      </c>
      <c r="F48" s="401" t="s">
        <v>165</v>
      </c>
      <c r="G48" s="401" t="s">
        <v>166</v>
      </c>
      <c r="H48" s="401" t="s">
        <v>167</v>
      </c>
      <c r="I48" s="541" t="s">
        <v>169</v>
      </c>
      <c r="J48" s="542" t="s">
        <v>186</v>
      </c>
      <c r="K48" s="543" t="s">
        <v>180</v>
      </c>
      <c r="L48" s="374" t="s">
        <v>187</v>
      </c>
      <c r="N48" s="544" t="s">
        <v>207</v>
      </c>
      <c r="O48" s="545"/>
      <c r="P48" s="545"/>
      <c r="Q48" s="545"/>
      <c r="R48" s="545"/>
      <c r="S48" s="545"/>
      <c r="T48" s="545"/>
      <c r="U48" s="546"/>
    </row>
    <row r="49" spans="3:21" ht="34.5" thickBot="1">
      <c r="C49" s="519"/>
      <c r="D49" s="520"/>
      <c r="E49" s="409"/>
      <c r="F49" s="410"/>
      <c r="G49" s="410"/>
      <c r="H49" s="410"/>
      <c r="I49" s="547"/>
      <c r="J49" s="522"/>
      <c r="K49" s="548"/>
      <c r="L49" s="375"/>
      <c r="N49" s="549" t="s">
        <v>208</v>
      </c>
      <c r="O49" s="550" t="s">
        <v>181</v>
      </c>
      <c r="P49" s="550" t="s">
        <v>182</v>
      </c>
      <c r="Q49" s="550" t="s">
        <v>183</v>
      </c>
      <c r="R49" s="550" t="s">
        <v>167</v>
      </c>
      <c r="S49" s="550" t="s">
        <v>168</v>
      </c>
      <c r="T49" s="550" t="s">
        <v>169</v>
      </c>
      <c r="U49" s="552" t="s">
        <v>186</v>
      </c>
    </row>
    <row r="50" spans="3:21" ht="15.75" thickBot="1">
      <c r="C50" s="524">
        <v>2009</v>
      </c>
      <c r="D50" s="525">
        <f>D43</f>
        <v>227</v>
      </c>
      <c r="E50" s="553">
        <f>E43*O50</f>
        <v>4289.437879113977</v>
      </c>
      <c r="F50" s="554">
        <f>F43*P50</f>
        <v>556.46489351718799</v>
      </c>
      <c r="G50" s="554">
        <f>G43*Q50</f>
        <v>0</v>
      </c>
      <c r="H50" s="554">
        <f>H43*R50</f>
        <v>0</v>
      </c>
      <c r="I50" s="555">
        <f>I43*T50</f>
        <v>185.42479261176001</v>
      </c>
      <c r="J50" s="578">
        <f>J43*U50</f>
        <v>76.525403322031792</v>
      </c>
      <c r="K50" s="557">
        <f>K43*N50</f>
        <v>1967.1495806757143</v>
      </c>
      <c r="L50" s="558">
        <f>SUM(E50:K50)</f>
        <v>7075.0025492406712</v>
      </c>
      <c r="N50" s="238">
        <v>1.1910000000000001</v>
      </c>
      <c r="O50" s="239">
        <v>0.35399999999999998</v>
      </c>
      <c r="P50" s="239">
        <v>0.34100000000000003</v>
      </c>
      <c r="Q50" s="239">
        <v>0</v>
      </c>
      <c r="R50" s="239">
        <v>0</v>
      </c>
      <c r="S50" s="240">
        <v>0.23100000000000001</v>
      </c>
      <c r="T50" s="241">
        <v>0.20200000000000001</v>
      </c>
      <c r="U50" s="242">
        <v>0.27900000000000003</v>
      </c>
    </row>
    <row r="51" spans="3:21" ht="15.75" thickBot="1">
      <c r="C51" s="532">
        <v>2014</v>
      </c>
      <c r="D51" s="533">
        <f>D44</f>
        <v>169</v>
      </c>
      <c r="E51" s="562">
        <f>E44*O50</f>
        <v>2842.1887564417493</v>
      </c>
      <c r="F51" s="563">
        <f>F44*P50</f>
        <v>786.05141757160834</v>
      </c>
      <c r="G51" s="563">
        <f>G44*Q50</f>
        <v>0</v>
      </c>
      <c r="H51" s="563">
        <f>H44*R50</f>
        <v>0</v>
      </c>
      <c r="I51" s="564">
        <f>I44*T50</f>
        <v>260.39485416492005</v>
      </c>
      <c r="J51" s="565">
        <f>J44*U50</f>
        <v>63.132111410568513</v>
      </c>
      <c r="K51" s="566">
        <f>K44*N50</f>
        <v>2902.8117141925709</v>
      </c>
      <c r="L51" s="567">
        <f>SUM(E51:K51)</f>
        <v>6854.5788537814169</v>
      </c>
    </row>
    <row r="52" spans="3:21">
      <c r="D52" s="222" t="s">
        <v>310</v>
      </c>
      <c r="E52" s="222">
        <f>IFERROR(100%-(E50/E51),"-")</f>
        <v>-0.50920232493076822</v>
      </c>
      <c r="F52" s="222">
        <f>IFERROR(100%-(F50/F51),"-")</f>
        <v>0.29207570767278124</v>
      </c>
      <c r="G52" s="222" t="str">
        <f>IFERROR(100%-(G50/G51),"-")</f>
        <v>-</v>
      </c>
      <c r="H52" s="222" t="str">
        <f>IFERROR(100%-(H50/H51),"-")</f>
        <v>-</v>
      </c>
      <c r="I52" s="222">
        <f t="shared" ref="I52:J52" si="1">IFERROR(100%-(I50/I51),"-")</f>
        <v>0.28790915163660669</v>
      </c>
      <c r="J52" s="222">
        <f t="shared" si="1"/>
        <v>-0.21214706133242367</v>
      </c>
      <c r="K52" s="222">
        <f>IFERROR(100%-(K50/K51),"-")</f>
        <v>0.32232959821064899</v>
      </c>
      <c r="L52" s="222">
        <f>IFERROR(100%-(L50/L51),"-")</f>
        <v>-3.2157146363215983E-2</v>
      </c>
    </row>
  </sheetData>
  <mergeCells count="70">
    <mergeCell ref="J48:J49"/>
    <mergeCell ref="K48:K49"/>
    <mergeCell ref="L48:L49"/>
    <mergeCell ref="N48:U48"/>
    <mergeCell ref="K41:K42"/>
    <mergeCell ref="L41:L42"/>
    <mergeCell ref="N41:T41"/>
    <mergeCell ref="C48:C49"/>
    <mergeCell ref="D48:D49"/>
    <mergeCell ref="E48:E49"/>
    <mergeCell ref="F48:F49"/>
    <mergeCell ref="G48:G49"/>
    <mergeCell ref="H48:H49"/>
    <mergeCell ref="I48:I49"/>
    <mergeCell ref="J35:J36"/>
    <mergeCell ref="K35:K36"/>
    <mergeCell ref="C41:C42"/>
    <mergeCell ref="D41:D42"/>
    <mergeCell ref="E41:E42"/>
    <mergeCell ref="F41:F42"/>
    <mergeCell ref="G41:G42"/>
    <mergeCell ref="H41:H42"/>
    <mergeCell ref="I41:I42"/>
    <mergeCell ref="J41:J42"/>
    <mergeCell ref="H23:H24"/>
    <mergeCell ref="I23:I24"/>
    <mergeCell ref="J23:J24"/>
    <mergeCell ref="C35:C36"/>
    <mergeCell ref="D35:D36"/>
    <mergeCell ref="E35:E36"/>
    <mergeCell ref="F35:F36"/>
    <mergeCell ref="G35:G36"/>
    <mergeCell ref="H35:H36"/>
    <mergeCell ref="I35:I36"/>
    <mergeCell ref="M12:P12"/>
    <mergeCell ref="M13:N13"/>
    <mergeCell ref="M14:N14"/>
    <mergeCell ref="A23:A24"/>
    <mergeCell ref="B23:B24"/>
    <mergeCell ref="C23:C24"/>
    <mergeCell ref="D23:D24"/>
    <mergeCell ref="E23:E24"/>
    <mergeCell ref="F23:F24"/>
    <mergeCell ref="G23:G24"/>
    <mergeCell ref="H10:H11"/>
    <mergeCell ref="I10:I11"/>
    <mergeCell ref="J10:J11"/>
    <mergeCell ref="M10:P10"/>
    <mergeCell ref="Q10:T10"/>
    <mergeCell ref="M11:N11"/>
    <mergeCell ref="M7:P7"/>
    <mergeCell ref="M8:N8"/>
    <mergeCell ref="M9:N9"/>
    <mergeCell ref="A10:A11"/>
    <mergeCell ref="B10:B11"/>
    <mergeCell ref="C10:C11"/>
    <mergeCell ref="D10:D11"/>
    <mergeCell ref="E10:E11"/>
    <mergeCell ref="F10:F11"/>
    <mergeCell ref="G10:G11"/>
    <mergeCell ref="M1:N1"/>
    <mergeCell ref="M2:P2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Ankietyzacja_dane</vt:lpstr>
      <vt:lpstr>Sektor mieszkalny</vt:lpstr>
      <vt:lpstr>Ankietyzacja_bud_publ</vt:lpstr>
      <vt:lpstr>Budynki publiczne</vt:lpstr>
      <vt:lpstr>Sektor usługowy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Seidel</dc:creator>
  <cp:lastModifiedBy>Gabriela Seidel</cp:lastModifiedBy>
  <dcterms:created xsi:type="dcterms:W3CDTF">2018-02-23T10:03:14Z</dcterms:created>
  <dcterms:modified xsi:type="dcterms:W3CDTF">2018-02-23T10:08:40Z</dcterms:modified>
</cp:coreProperties>
</file>